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HP\Desktop\RVA Pati galutine 2023.05.11\TU 8.1.1\"/>
    </mc:Choice>
  </mc:AlternateContent>
  <xr:revisionPtr revIDLastSave="0" documentId="13_ncr:1_{0DAABB59-615A-42E5-B656-465184759D24}" xr6:coauthVersionLast="45" xr6:coauthVersionMax="47" xr10:uidLastSave="{00000000-0000-0000-0000-000000000000}"/>
  <bookViews>
    <workbookView xWindow="-108" yWindow="-108" windowWidth="23256" windowHeight="12600" activeTab="7" xr2:uid="{9F78AEDC-1623-4FD0-8E2B-6593699728E4}"/>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f" hidden="1">[1]gamybaK!#REF!</definedName>
    <definedName name="_xlnm._FilterDatabase" localSheetId="3" hidden="1">'4'!$A$8:$AG$236</definedName>
    <definedName name="_xlnm._FilterDatabase" hidden="1">[2]gamybaK!#REF!</definedName>
    <definedName name="DK">[3]_lists!$C$261:$C$267</definedName>
    <definedName name="filter" hidden="1">[4]gamybaK!#REF!</definedName>
    <definedName name="II.7.Nebaigta_statyba">'[5]1.vardai'!$G$105</definedName>
    <definedName name="IT_grupe">[3]_lists!$C$6:$G$6</definedName>
    <definedName name="kint" hidden="1">[6]gamybaK!#REF!</definedName>
    <definedName name="l" hidden="1">[6]gamybaK!#REF!</definedName>
    <definedName name="lkjh" hidden="1">[4]gamybaK!#REF!</definedName>
    <definedName name="lkmjh" hidden="1">[7]gamybaK!#REF!</definedName>
    <definedName name="m">#REF!</definedName>
    <definedName name="Nesikliai">[8]_lists!#REF!</definedName>
    <definedName name="Padaliniai">[8]_lists!#REF!</definedName>
    <definedName name="padaliniai_tipai">[3]_lists!$C$253:$C$255</definedName>
    <definedName name="Paskirstymas">[3]_lists!$D$616:$D$618</definedName>
    <definedName name="Paslaugos">[9]lists!$C$4:$C$9</definedName>
    <definedName name="Priskyrimas_turtas">[10]_!$H$17:$H$45</definedName>
    <definedName name="puma" hidden="1">[11]gamybaK!#REF!</definedName>
    <definedName name="RASgr">[9]lists!$C$161:$C$175</definedName>
    <definedName name="RASnr">[9]lists!$B$41:$B$155</definedName>
    <definedName name="Sąnaudos">'[5]1.vardai'!$C$479:$C$494</definedName>
    <definedName name="Sistemos">[12]Pradžia!$U$10:$U$19</definedName>
    <definedName name="Sistemos2">[12]Pradžia!$U$9:$U$19</definedName>
    <definedName name="skaicius">[3]_lists!$C$299:$C$303</definedName>
    <definedName name="sxdysxcgasdc" hidden="1">[13]gamybaK!#REF!</definedName>
    <definedName name="taipne">[8]_lists!$C$65:$C$66</definedName>
    <definedName name="TS">[3]_lists!$E$616:$E$628</definedName>
    <definedName name="tuscia">[12]_lists!$C$223</definedName>
    <definedName name="VAS003_F_BendrujuadministraciniuVeiklosVIIKitosVeiklos">#REF!</definedName>
    <definedName name="VAS003_F_BendrujuadministraciniuVeiklosVIKitosReguliuojamos">#REF!</definedName>
    <definedName name="VAS003_F_BendrujuadministraciniuVeiklosVISOSVANDENTVARKOSSANAUDOS">#REF!</definedName>
    <definedName name="VAS003_F_NetiesioginiuVeiklosSanauduVIIKitosVeiklos">#REF!</definedName>
    <definedName name="VAS003_F_NetiesioginiuVeiklosSanauduVIKitosReguliuojamos">#REF!</definedName>
    <definedName name="VAS003_F_NetiesioginiuVeiklosSanauduVISOSVANDENTVARKOSSANAUDOS">#REF!</definedName>
    <definedName name="VAS003_F_PajamosIsReguliuojamojeVIIKitosVeiklos">#REF!</definedName>
    <definedName name="VAS003_F_PajamosIsReguliuojamojeVIKitosReguliuojamos">#REF!</definedName>
    <definedName name="VAS003_F_PajamosIsReguliuojamojeVISOSVANDENTVARKOSSANAUDOS">#REF!</definedName>
    <definedName name="VAS003_F_UkioSubjektoTiesioginesIApskaitosVeikla">#REF!</definedName>
    <definedName name="VAS003_F_UkioSubjektoTiesioginesIII1surinkimas">#REF!</definedName>
    <definedName name="VAS003_F_UkioSubjektoTiesioginesIII2valymas">#REF!</definedName>
    <definedName name="VAS003_F_UkioSubjektoTiesioginesIII3nuotekuDumblo">#REF!</definedName>
    <definedName name="VAS003_F_UkioSubjektoTiesioginesIII4PavirsiniuNuoteku">#REF!</definedName>
    <definedName name="VAS003_F_UkioSubjektoTiesioginesIII5NuotekuTransportavimas">#REF!</definedName>
    <definedName name="VAS003_F_UkioSubjektoTiesioginesVIIKitosVeiklos">#REF!</definedName>
    <definedName name="VAS003_F_UkioSubjektoTiesioginesVIKitosReguliuojamos">#REF!</definedName>
    <definedName name="VAS003_F_VersloVienetuIrPaslauguPajamosIApskaitosVeikla">#REF!</definedName>
    <definedName name="VAS003_F_VersloVienetuIrPaslauguPajamosII3pristatymas">#REF!</definedName>
    <definedName name="VAS003_F_VersloVienetuIrPaslauguPajamosIII4PavirsiniuNuoteku">#REF!</definedName>
    <definedName name="VAS003_F_VersloVienetuIrPaslauguPajamosIII5NuotekuTransportavimas">#REF!</definedName>
    <definedName name="VAS003_F_VersloVienetuIrPaslauguPajamosVIIKitosVeiklos">#REF!</definedName>
    <definedName name="VAS003_F_VersloVienetuIrPaslauguPajamosVIKitosReguliuojamos">#REF!</definedName>
    <definedName name="VAS003_F_VersloVienetuIrPaslauguSanaudosVIIKitosVeiklos">#REF!</definedName>
    <definedName name="VAS003_F_VersloVienetuIrPaslauguSanaudosVIKitosReguliuojamos">#REF!</definedName>
    <definedName name="VAS007_F_AtsiskaitomujuGeriamojoVandensIlgalaikioIsViso">#REF!</definedName>
    <definedName name="VAS007_F_GeriamojoVandensGavybaIlgalaikioIsViso">#REF!</definedName>
    <definedName name="VAS007_F_GeriamojoVandensPristatymasIlgalaikioIsViso">#REF!</definedName>
    <definedName name="VAS007_F_GeriamojoVandensRuosimasIlgalaikioIsViso">#REF!</definedName>
    <definedName name="VAS007_F_NereguliuojamamIlgalaikiamTurtuiIsViso">#REF!</definedName>
    <definedName name="VAS007_F_NuotekuDumbloTvarkymasIlgalaikioIsViso">#REF!</definedName>
    <definedName name="VAS007_F_NuotekuSurinkimasIlgalaikioIsViso">#REF!</definedName>
    <definedName name="VAS007_F_NuotekuTransportavimasMobiliosiomisIlgalaikioIsViso">#REF!</definedName>
    <definedName name="VAS007_F_NuotekuValymasIlgalaikioIsViso">#REF!</definedName>
    <definedName name="VAS007_F_PavirsiniuNuotekuTvarkymasIlgalaikioIsViso">#REF!</definedName>
    <definedName name="VAS007_F_ReguliuojamamIlgalaikiamTurtuiPriskirtaIlgalaikioIsViso">#REF!</definedName>
    <definedName name="VAS007_F_ReguliuojamamIlgalaikiamTurtuiPriskirtaIlgalaikioTukstLtKiti">#REF!</definedName>
    <definedName name="VAS007_F_ReguliuojamamIlgalaikiamTurtuiPriskirtaIlgalaikioTukstLtMasinos">#REF!</definedName>
    <definedName name="VAS007_F_ReguliuojamamIlgalaikiamTurtuiPriskirtaIlgalaikioTukstLtNematerialus">#REF!</definedName>
    <definedName name="VAS007_F_ReguliuojamamIlgalaikiamTurtuiPriskirtaIlgalaikioTukstLtPastatai">#REF!</definedName>
    <definedName name="VAS007_F_ReguliuojamamIlgalaikiamTurtuiPriskirtaIlgalaikioTukstLtStatiniai">#REF!</definedName>
    <definedName name="VAS007_F_ReguliuojamamIlgalaikiamTurtuiPriskirtaIlgalaikioTukstLtTransporto">#REF!</definedName>
    <definedName name="VAS007_F_ReguliuojamamIlgalaikiamTurtuiPriskirtaIlgalaikioTukstLtZeme">#REF!</definedName>
    <definedName name="VAS007_F_ReguliuojamamIlgalaikiamTurtuiPriskirtaIlgalaikioVandentiekioIrNuoteku">#REF!</definedName>
    <definedName name="VAS008_F_AtsiskaitomujuGeriamojoVandensPriskirtaIsViso">#REF!</definedName>
    <definedName name="VAS008_F_GeriamojoVandensGavybaPriskirtaIsViso">#REF!</definedName>
    <definedName name="VAS008_F_GeriamojoVandensPristatymasPriskirtaIsViso">#REF!</definedName>
    <definedName name="VAS008_F_GeriamojoVandensRuosimasPriskirtaIsViso">#REF!</definedName>
    <definedName name="VAS008_F_NereguliuojamamIlgalaikiamTurtuiPriskirtaIsViso">#REF!</definedName>
    <definedName name="VAS008_F_NuotekuDumbloTvarkymasPriskirtaIsViso">#REF!</definedName>
    <definedName name="VAS008_F_NuotekuSurinkimasPriskirtaIsViso">#REF!</definedName>
    <definedName name="VAS008_F_NuotekuTransportavimasMobiliosiomisPriskirtaIsViso">#REF!</definedName>
    <definedName name="VAS008_F_NuotekuValymasPriskirtaIsViso">#REF!</definedName>
    <definedName name="VAS008_F_PavirsiniuNuotekuTvarkymasPriskirtaIsViso">#REF!</definedName>
    <definedName name="VAS008_F_ReguliuojamamIlgalaikiamTurtuiPriskirtaIsViso">#REF!</definedName>
    <definedName name="VAS011_F_NetiesioginiuVeiklosSanauduIAtsiskaitomujuApskaitos">#REF!</definedName>
    <definedName name="VAS011_F_NetiesioginiuVeiklosSanauduII1gavyba">#REF!</definedName>
    <definedName name="VAS011_F_NetiesioginiuVeiklosSanauduII2ruosimas">#REF!</definedName>
    <definedName name="VAS011_F_NetiesioginiuVeiklosSanauduII3pristatymas">#REF!</definedName>
    <definedName name="VAS011_F_NetiesioginiuVeiklosSanauduIII1surinkimas">#REF!</definedName>
    <definedName name="VAS011_F_NetiesioginiuVeiklosSanauduIII2valymas">#REF!</definedName>
    <definedName name="VAS011_F_NetiesioginiuVeiklosSanauduIII3nuotekuDumblo">#REF!</definedName>
    <definedName name="VAS011_F_NetiesioginiuVeiklosSanauduIVPavirsiniuNuoteku">#REF!</definedName>
    <definedName name="VAS011_F_NetiesioginiuVeiklosSanauduVIIKitosVeiklos">#REF!</definedName>
    <definedName name="VAS011_F_NetiesioginiuVeiklosSanauduVIKitosReguliuojamos">#REF!</definedName>
    <definedName name="VAS011_F_NetiesioginiuVeiklosSanauduVISO">#REF!</definedName>
    <definedName name="VAS011_F_NetiesioginiuVeiklosSanauduVISOSVANDENTVARKOSSANAUDOS">#REF!</definedName>
    <definedName name="VAS011_F_NetiesioginiuVeiklosSanauduVNuotekuTransportavimas">#REF!</definedName>
    <definedName name="VAS012_F_BendrosiosadministracinesVeiklosIAtsiskaitomujuApskaitos">#REF!</definedName>
    <definedName name="VAS012_F_BendrosiosadministracinesVeiklosII1Gavyba">#REF!</definedName>
    <definedName name="VAS012_F_BendrosiosadministracinesVeiklosII2Ruosimas">#REF!</definedName>
    <definedName name="VAS012_F_BendrosiosadministracinesVeiklosII3Pristatymas">#REF!</definedName>
    <definedName name="VAS012_F_BendrosiosadministracinesVeiklosIII1surinkimas">#REF!</definedName>
    <definedName name="VAS012_F_BendrosiosadministracinesVeiklosIII2valymas">#REF!</definedName>
    <definedName name="VAS012_F_BendrosiosadministracinesVeiklosIII3nuotekuDumblo">#REF!</definedName>
    <definedName name="VAS012_F_BendrosiosadministracinesVeiklosIVPavirsiniuNuoteku">#REF!</definedName>
    <definedName name="VAS012_F_BendrosiosadministracinesVeiklosVIIKitosVeiklos">#REF!</definedName>
    <definedName name="VAS012_F_BendrosiosadministracinesVeiklosVIKitosReguliuojamos">#REF!</definedName>
    <definedName name="VAS012_F_BendrosiosadministracinesVeiklosVISO">#REF!</definedName>
    <definedName name="VAS012_F_BendrosiosadministracinesVeiklosVISOSVANDENTVARKOSSANAUDOS">#REF!</definedName>
    <definedName name="VAS012_F_BendrosiosadministracinesVeiklosVNuotekuTransportavimas">#REF!</definedName>
    <definedName name="VAS013_F_ILGALAIKIOTURTONUSIDEVEJIMO20M">#REF!</definedName>
    <definedName name="VAS013_F_TIESIOGINESVEIKLOSSANAUDOS20M">#REF!</definedName>
    <definedName name="VV">[3]_lists!$E$38:$E$45</definedName>
    <definedName name="x" hidden="1">[14]suv!#REF!</definedName>
    <definedName name="XLSCOMPFILTER" hidden="1">[4]gamybaK!#REF!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2" i="5" l="1"/>
  <c r="D15" i="2" l="1"/>
  <c r="F198" i="4" l="1"/>
  <c r="E198" i="4"/>
  <c r="E56" i="11" l="1"/>
  <c r="E17" i="8" l="1"/>
  <c r="E16" i="8" s="1"/>
  <c r="E26" i="8"/>
  <c r="E64" i="8" s="1"/>
  <c r="E28" i="8"/>
  <c r="E29" i="8"/>
  <c r="E30" i="8"/>
  <c r="E32" i="8"/>
  <c r="E38" i="8"/>
  <c r="E49" i="8" s="1"/>
  <c r="E39" i="8"/>
  <c r="E51" i="8"/>
  <c r="E52" i="8"/>
  <c r="E54" i="8"/>
  <c r="E58" i="8"/>
  <c r="E61" i="8"/>
  <c r="E66" i="8"/>
  <c r="E67" i="8"/>
  <c r="E68" i="8"/>
  <c r="E73" i="8"/>
  <c r="E78" i="8"/>
  <c r="E77" i="8" s="1"/>
  <c r="E85" i="8"/>
  <c r="E89" i="8" l="1"/>
  <c r="E72" i="8"/>
  <c r="E71" i="8"/>
  <c r="E50" i="8"/>
  <c r="E70" i="8" s="1"/>
  <c r="E69" i="8"/>
  <c r="E27" i="8"/>
  <c r="E65" i="8" s="1"/>
  <c r="E25" i="8"/>
  <c r="E63" i="8" s="1"/>
  <c r="D49" i="5" l="1"/>
  <c r="D26" i="5"/>
  <c r="D48" i="5" l="1"/>
  <c r="D36" i="3" l="1"/>
  <c r="D184" i="4" l="1"/>
  <c r="D201" i="4"/>
  <c r="D106" i="4" l="1"/>
  <c r="D200" i="4" l="1"/>
  <c r="D105" i="4"/>
  <c r="O27" i="4" l="1"/>
  <c r="N27" i="4"/>
  <c r="D136" i="4"/>
  <c r="D232" i="4"/>
  <c r="F84" i="4"/>
  <c r="D207" i="4"/>
  <c r="I43" i="4" l="1"/>
  <c r="M43" i="4"/>
  <c r="N38" i="4"/>
  <c r="Q45" i="4"/>
  <c r="D51" i="3" l="1"/>
  <c r="D64" i="3"/>
  <c r="D37" i="3" l="1"/>
  <c r="E48" i="11" l="1"/>
  <c r="E44" i="11"/>
  <c r="F17" i="10"/>
  <c r="E13" i="10"/>
  <c r="E189" i="9"/>
  <c r="E143" i="9"/>
  <c r="E50" i="11"/>
  <c r="E47" i="11"/>
  <c r="E43" i="11"/>
  <c r="E52" i="11"/>
  <c r="D109" i="7"/>
  <c r="D109" i="6"/>
  <c r="D104" i="6"/>
  <c r="Q93" i="7"/>
  <c r="O93" i="7"/>
  <c r="L93" i="7"/>
  <c r="H93" i="7"/>
  <c r="G93" i="7"/>
  <c r="C93" i="7"/>
  <c r="M93" i="7"/>
  <c r="C92" i="7"/>
  <c r="C91" i="7"/>
  <c r="C90" i="7"/>
  <c r="Q89" i="7"/>
  <c r="O89" i="7"/>
  <c r="L89" i="7"/>
  <c r="G89" i="7"/>
  <c r="G71" i="7" s="1"/>
  <c r="C89" i="7"/>
  <c r="M89" i="7"/>
  <c r="M71" i="7" s="1"/>
  <c r="K88" i="7"/>
  <c r="C88" i="7"/>
  <c r="Q87" i="7"/>
  <c r="L87" i="7"/>
  <c r="K87" i="7"/>
  <c r="C87" i="7"/>
  <c r="P86" i="7"/>
  <c r="K86" i="7"/>
  <c r="C86" i="7"/>
  <c r="Q85" i="7"/>
  <c r="Q65" i="7" s="1"/>
  <c r="O85" i="7"/>
  <c r="L85" i="7"/>
  <c r="H85" i="7"/>
  <c r="H65" i="7" s="1"/>
  <c r="G85" i="7"/>
  <c r="C85" i="7"/>
  <c r="M85" i="7"/>
  <c r="M65" i="7" s="1"/>
  <c r="C84" i="7"/>
  <c r="C83" i="7"/>
  <c r="C82" i="7"/>
  <c r="Q81" i="7"/>
  <c r="O81" i="7"/>
  <c r="L81" i="7"/>
  <c r="L60" i="7" s="1"/>
  <c r="H81" i="7"/>
  <c r="H60" i="7" s="1"/>
  <c r="G81" i="7"/>
  <c r="C81" i="7"/>
  <c r="M81" i="7"/>
  <c r="K80" i="7"/>
  <c r="K58" i="7" s="1"/>
  <c r="C80" i="7"/>
  <c r="Q79" i="7"/>
  <c r="L79" i="7"/>
  <c r="K79" i="7"/>
  <c r="C79" i="7"/>
  <c r="P78" i="7"/>
  <c r="K78" i="7"/>
  <c r="C78" i="7"/>
  <c r="Q76" i="6"/>
  <c r="O76" i="6"/>
  <c r="M71" i="6"/>
  <c r="L71" i="6"/>
  <c r="Q71" i="6"/>
  <c r="O69" i="6"/>
  <c r="Q65" i="6"/>
  <c r="P65" i="6"/>
  <c r="F65" i="6"/>
  <c r="M60" i="6"/>
  <c r="H60" i="6"/>
  <c r="K58" i="6"/>
  <c r="F58" i="6"/>
  <c r="P56" i="6"/>
  <c r="J56" i="6"/>
  <c r="F56" i="6"/>
  <c r="P50" i="6"/>
  <c r="F50" i="6"/>
  <c r="N37" i="6"/>
  <c r="D228" i="4"/>
  <c r="D192" i="4"/>
  <c r="D190" i="4"/>
  <c r="D185" i="4"/>
  <c r="J133" i="4"/>
  <c r="N181" i="4"/>
  <c r="I176" i="4"/>
  <c r="I174" i="4"/>
  <c r="I147" i="4"/>
  <c r="N142" i="4"/>
  <c r="E142" i="4"/>
  <c r="L138" i="4"/>
  <c r="Q137" i="4"/>
  <c r="L137" i="4"/>
  <c r="J137" i="4"/>
  <c r="M136" i="4"/>
  <c r="L136" i="4"/>
  <c r="K136" i="4"/>
  <c r="J135" i="4"/>
  <c r="M133" i="4"/>
  <c r="L133" i="4"/>
  <c r="K133" i="4"/>
  <c r="K131" i="4"/>
  <c r="P130" i="4"/>
  <c r="O130" i="4"/>
  <c r="M130" i="4"/>
  <c r="G130" i="4"/>
  <c r="F130" i="4"/>
  <c r="K130" i="4"/>
  <c r="P129" i="4"/>
  <c r="L129" i="4"/>
  <c r="J129" i="4"/>
  <c r="H129" i="4"/>
  <c r="P127" i="4"/>
  <c r="L127" i="4"/>
  <c r="H127" i="4"/>
  <c r="G127" i="4"/>
  <c r="O126" i="4"/>
  <c r="M126" i="4"/>
  <c r="Q125" i="4"/>
  <c r="P125" i="4"/>
  <c r="M125" i="4"/>
  <c r="L125" i="4"/>
  <c r="J125" i="4"/>
  <c r="H125" i="4"/>
  <c r="G125" i="4"/>
  <c r="Q123" i="4"/>
  <c r="K123" i="4"/>
  <c r="J123" i="4"/>
  <c r="G123" i="4"/>
  <c r="Q122" i="4"/>
  <c r="O122" i="4"/>
  <c r="L122" i="4"/>
  <c r="G122" i="4"/>
  <c r="F122" i="4"/>
  <c r="Q121" i="4"/>
  <c r="P121" i="4"/>
  <c r="K121" i="4"/>
  <c r="J121" i="4"/>
  <c r="H121" i="4"/>
  <c r="Q120" i="4"/>
  <c r="O120" i="4"/>
  <c r="F120" i="4"/>
  <c r="M120" i="4"/>
  <c r="P119" i="4"/>
  <c r="J119" i="4"/>
  <c r="G119" i="4"/>
  <c r="M119" i="4"/>
  <c r="L118" i="4"/>
  <c r="Q117" i="4"/>
  <c r="H117" i="4"/>
  <c r="G114" i="4"/>
  <c r="M114" i="4"/>
  <c r="Q112" i="4"/>
  <c r="H111" i="4"/>
  <c r="G111" i="4"/>
  <c r="O111" i="4"/>
  <c r="M110" i="4"/>
  <c r="L110" i="4"/>
  <c r="G110" i="4"/>
  <c r="P110" i="4"/>
  <c r="D109" i="4"/>
  <c r="O107" i="4"/>
  <c r="M107" i="4"/>
  <c r="K107" i="4"/>
  <c r="J107" i="4"/>
  <c r="H107" i="4"/>
  <c r="G107" i="4"/>
  <c r="Q107" i="4"/>
  <c r="O106" i="4"/>
  <c r="G106" i="4"/>
  <c r="P105" i="4"/>
  <c r="J105" i="4"/>
  <c r="H105" i="4"/>
  <c r="D104" i="4"/>
  <c r="M102" i="4"/>
  <c r="L102" i="4"/>
  <c r="K102" i="4"/>
  <c r="H102" i="4"/>
  <c r="L100" i="4"/>
  <c r="K100" i="4"/>
  <c r="G100" i="4"/>
  <c r="Q96" i="4"/>
  <c r="H96" i="4"/>
  <c r="G96" i="4"/>
  <c r="M96" i="4"/>
  <c r="M95" i="4" s="1"/>
  <c r="D95" i="4"/>
  <c r="J93" i="4"/>
  <c r="H93" i="4"/>
  <c r="D92" i="4"/>
  <c r="M91" i="4"/>
  <c r="K90" i="4"/>
  <c r="N87" i="4"/>
  <c r="E87" i="4"/>
  <c r="N86" i="4"/>
  <c r="E86" i="4"/>
  <c r="I85" i="4"/>
  <c r="E85" i="4"/>
  <c r="N84" i="4"/>
  <c r="N82" i="4"/>
  <c r="E82" i="4"/>
  <c r="E81" i="4"/>
  <c r="P80" i="4"/>
  <c r="O80" i="4"/>
  <c r="G80" i="4"/>
  <c r="F80" i="4"/>
  <c r="I79" i="4"/>
  <c r="N78" i="4"/>
  <c r="I78" i="4"/>
  <c r="F64" i="4"/>
  <c r="N76" i="4"/>
  <c r="I76" i="4"/>
  <c r="E75" i="4"/>
  <c r="N74" i="4"/>
  <c r="E73" i="4"/>
  <c r="N72" i="4"/>
  <c r="I72" i="4"/>
  <c r="E72" i="4"/>
  <c r="D72" i="4" s="1"/>
  <c r="N71" i="4"/>
  <c r="E71" i="4"/>
  <c r="N70" i="4"/>
  <c r="E70" i="4"/>
  <c r="I69" i="4"/>
  <c r="E69" i="4"/>
  <c r="N68" i="4"/>
  <c r="N66" i="4"/>
  <c r="E65" i="4"/>
  <c r="P64" i="4"/>
  <c r="G64" i="4"/>
  <c r="I63" i="4"/>
  <c r="N62" i="4"/>
  <c r="I62" i="4"/>
  <c r="E62" i="4"/>
  <c r="L61" i="4"/>
  <c r="K61" i="4"/>
  <c r="J61" i="4"/>
  <c r="G61" i="4"/>
  <c r="N60" i="4"/>
  <c r="E60" i="4"/>
  <c r="N59" i="4"/>
  <c r="J55" i="4"/>
  <c r="K55" i="4"/>
  <c r="F55" i="4"/>
  <c r="I57" i="4"/>
  <c r="G55" i="4"/>
  <c r="D56" i="4"/>
  <c r="N56" i="4"/>
  <c r="I56" i="4"/>
  <c r="E56" i="4"/>
  <c r="Q55" i="4"/>
  <c r="N54" i="4"/>
  <c r="E54" i="4"/>
  <c r="N53" i="4"/>
  <c r="I53" i="4"/>
  <c r="E53" i="4"/>
  <c r="N52" i="4"/>
  <c r="E34" i="10"/>
  <c r="E33" i="10" s="1"/>
  <c r="E32" i="10"/>
  <c r="E31" i="10" s="1"/>
  <c r="K50" i="4"/>
  <c r="E51" i="4"/>
  <c r="E28" i="10" s="1"/>
  <c r="Q50" i="4"/>
  <c r="M50" i="4"/>
  <c r="J50" i="4"/>
  <c r="H50" i="4"/>
  <c r="N49" i="4"/>
  <c r="E49" i="4"/>
  <c r="Q43" i="4"/>
  <c r="I48" i="4"/>
  <c r="I47" i="4"/>
  <c r="N45" i="4"/>
  <c r="K43" i="4"/>
  <c r="N44" i="4"/>
  <c r="L43" i="4"/>
  <c r="I44" i="4"/>
  <c r="G43" i="4"/>
  <c r="P43" i="4"/>
  <c r="J43" i="4"/>
  <c r="H43" i="4"/>
  <c r="O41" i="4"/>
  <c r="J41" i="4"/>
  <c r="I42" i="4"/>
  <c r="G41" i="4"/>
  <c r="Q41" i="4"/>
  <c r="P41" i="4"/>
  <c r="N41" i="4"/>
  <c r="M41" i="4"/>
  <c r="L41" i="4"/>
  <c r="K41" i="4"/>
  <c r="H41" i="4"/>
  <c r="F41" i="4"/>
  <c r="E41" i="4"/>
  <c r="N40" i="4"/>
  <c r="I40" i="4"/>
  <c r="E40" i="4"/>
  <c r="N39" i="4"/>
  <c r="K38" i="4"/>
  <c r="I39" i="4"/>
  <c r="P38" i="4"/>
  <c r="M38" i="4"/>
  <c r="L38" i="4"/>
  <c r="J38" i="4"/>
  <c r="H38" i="4"/>
  <c r="N37" i="4"/>
  <c r="I37" i="4"/>
  <c r="E37" i="4"/>
  <c r="N36" i="4"/>
  <c r="L35" i="4"/>
  <c r="I36" i="4"/>
  <c r="G35" i="4"/>
  <c r="E36" i="4"/>
  <c r="Q35" i="4"/>
  <c r="P35" i="4"/>
  <c r="O35" i="4"/>
  <c r="M35" i="4"/>
  <c r="K35" i="4"/>
  <c r="J35" i="4"/>
  <c r="J13" i="4" s="1"/>
  <c r="H35" i="4"/>
  <c r="F35" i="4"/>
  <c r="O32" i="4"/>
  <c r="M32" i="4"/>
  <c r="I34" i="4"/>
  <c r="G32" i="4"/>
  <c r="Q32" i="4"/>
  <c r="N33" i="4"/>
  <c r="I33" i="4"/>
  <c r="P32" i="4"/>
  <c r="K32" i="4"/>
  <c r="H32" i="4"/>
  <c r="F32" i="4"/>
  <c r="N31" i="4"/>
  <c r="I31" i="4"/>
  <c r="E31" i="4"/>
  <c r="P29" i="4"/>
  <c r="N30" i="4"/>
  <c r="K29" i="4"/>
  <c r="E30" i="4"/>
  <c r="Q29" i="4"/>
  <c r="O29" i="4"/>
  <c r="M29" i="4"/>
  <c r="L29" i="4"/>
  <c r="J29" i="4"/>
  <c r="H29" i="4"/>
  <c r="G29" i="4"/>
  <c r="F29" i="4"/>
  <c r="E29" i="4"/>
  <c r="I28" i="4"/>
  <c r="E28" i="4"/>
  <c r="Q13" i="4"/>
  <c r="P13" i="4"/>
  <c r="O13" i="4"/>
  <c r="N13" i="4" s="1"/>
  <c r="M13" i="4"/>
  <c r="H13" i="4"/>
  <c r="F13" i="4"/>
  <c r="K12" i="4"/>
  <c r="Q10" i="4"/>
  <c r="M10" i="4"/>
  <c r="L10" i="4"/>
  <c r="J10" i="4"/>
  <c r="H10" i="4"/>
  <c r="E10" i="4"/>
  <c r="S9" i="4"/>
  <c r="Q9" i="4"/>
  <c r="P9" i="4"/>
  <c r="O9" i="4"/>
  <c r="M9" i="4"/>
  <c r="L9" i="4"/>
  <c r="K9" i="4"/>
  <c r="J9" i="4"/>
  <c r="I9" i="4"/>
  <c r="H9" i="4"/>
  <c r="G9" i="4"/>
  <c r="F9" i="4"/>
  <c r="E9" i="4"/>
  <c r="D50" i="3"/>
  <c r="D31" i="3"/>
  <c r="D26" i="3"/>
  <c r="D30" i="2"/>
  <c r="D9" i="5"/>
  <c r="N130" i="4" l="1"/>
  <c r="D53" i="4"/>
  <c r="D36" i="4"/>
  <c r="I38" i="4"/>
  <c r="E35" i="4"/>
  <c r="G13" i="4"/>
  <c r="I41" i="4"/>
  <c r="D31" i="4"/>
  <c r="K10" i="4"/>
  <c r="N32" i="4"/>
  <c r="L13" i="4"/>
  <c r="D41" i="4"/>
  <c r="N29" i="4"/>
  <c r="P10" i="4"/>
  <c r="G50" i="4"/>
  <c r="F10" i="4"/>
  <c r="E33" i="4"/>
  <c r="G10" i="4"/>
  <c r="O10" i="4"/>
  <c r="K13" i="4"/>
  <c r="J32" i="4"/>
  <c r="F38" i="4"/>
  <c r="O38" i="4"/>
  <c r="E39" i="4"/>
  <c r="M27" i="4"/>
  <c r="N46" i="4"/>
  <c r="E47" i="4"/>
  <c r="N47" i="4"/>
  <c r="E48" i="4"/>
  <c r="O50" i="4"/>
  <c r="N50" i="4" s="1"/>
  <c r="N51" i="4"/>
  <c r="P50" i="4"/>
  <c r="P27" i="4" s="1"/>
  <c r="I52" i="4"/>
  <c r="E58" i="4"/>
  <c r="N58" i="4"/>
  <c r="O61" i="4"/>
  <c r="M61" i="4"/>
  <c r="K64" i="4"/>
  <c r="J64" i="4"/>
  <c r="I74" i="4"/>
  <c r="I77" i="4"/>
  <c r="N79" i="4"/>
  <c r="I84" i="4"/>
  <c r="D85" i="4"/>
  <c r="I86" i="4"/>
  <c r="H95" i="4"/>
  <c r="F117" i="4"/>
  <c r="P117" i="4"/>
  <c r="G117" i="4"/>
  <c r="K117" i="4"/>
  <c r="O117" i="4"/>
  <c r="M117" i="4"/>
  <c r="L117" i="4"/>
  <c r="D116" i="4"/>
  <c r="J117" i="4"/>
  <c r="I29" i="4"/>
  <c r="D37" i="4"/>
  <c r="G38" i="4"/>
  <c r="D40" i="4"/>
  <c r="O43" i="4"/>
  <c r="N43" i="4" s="1"/>
  <c r="N48" i="4"/>
  <c r="F50" i="4"/>
  <c r="L55" i="4"/>
  <c r="P61" i="4"/>
  <c r="F61" i="4"/>
  <c r="L64" i="4"/>
  <c r="I71" i="4"/>
  <c r="Q80" i="4"/>
  <c r="P128" i="4"/>
  <c r="N9" i="4"/>
  <c r="I30" i="4"/>
  <c r="L32" i="4"/>
  <c r="E34" i="4"/>
  <c r="I35" i="4"/>
  <c r="Q38" i="4"/>
  <c r="Q27" i="4" s="1"/>
  <c r="I51" i="4"/>
  <c r="D51" i="4" s="1"/>
  <c r="M55" i="4"/>
  <c r="E57" i="4"/>
  <c r="I60" i="4"/>
  <c r="Q61" i="4"/>
  <c r="D62" i="4"/>
  <c r="E63" i="4"/>
  <c r="E66" i="4"/>
  <c r="I68" i="4"/>
  <c r="D69" i="4"/>
  <c r="E74" i="4"/>
  <c r="F91" i="4"/>
  <c r="O91" i="4"/>
  <c r="Q91" i="4"/>
  <c r="G91" i="4"/>
  <c r="K91" i="4"/>
  <c r="D89" i="4"/>
  <c r="J91" i="4"/>
  <c r="H91" i="4"/>
  <c r="D11" i="3"/>
  <c r="D35" i="3"/>
  <c r="D30" i="3" s="1"/>
  <c r="N28" i="4"/>
  <c r="N34" i="4"/>
  <c r="E42" i="4"/>
  <c r="N42" i="4"/>
  <c r="F43" i="4"/>
  <c r="I45" i="4"/>
  <c r="I46" i="4"/>
  <c r="I59" i="4"/>
  <c r="H61" i="4"/>
  <c r="N63" i="4"/>
  <c r="D63" i="4"/>
  <c r="Q64" i="4"/>
  <c r="I66" i="4"/>
  <c r="I73" i="4"/>
  <c r="E77" i="4"/>
  <c r="E83" i="4"/>
  <c r="K89" i="4"/>
  <c r="L91" i="4"/>
  <c r="Q99" i="4"/>
  <c r="G105" i="4"/>
  <c r="I49" i="4"/>
  <c r="E52" i="4"/>
  <c r="I70" i="4"/>
  <c r="J80" i="4"/>
  <c r="I81" i="4"/>
  <c r="I87" i="4"/>
  <c r="Q93" i="4"/>
  <c r="Q108" i="4"/>
  <c r="D28" i="4"/>
  <c r="L50" i="4"/>
  <c r="H55" i="4"/>
  <c r="I58" i="4"/>
  <c r="I61" i="4"/>
  <c r="E67" i="4"/>
  <c r="H80" i="4"/>
  <c r="E80" i="4" s="1"/>
  <c r="K80" i="4"/>
  <c r="I83" i="4"/>
  <c r="P91" i="4"/>
  <c r="M64" i="4"/>
  <c r="N75" i="4"/>
  <c r="E78" i="4"/>
  <c r="L80" i="4"/>
  <c r="E161" i="4"/>
  <c r="F110" i="4"/>
  <c r="E27" i="10"/>
  <c r="N35" i="4"/>
  <c r="E44" i="4"/>
  <c r="E45" i="4"/>
  <c r="E46" i="4"/>
  <c r="D48" i="4"/>
  <c r="I54" i="4"/>
  <c r="E59" i="4"/>
  <c r="H64" i="4"/>
  <c r="I65" i="4"/>
  <c r="I67" i="4"/>
  <c r="N73" i="4"/>
  <c r="O64" i="4"/>
  <c r="E76" i="4"/>
  <c r="E79" i="4"/>
  <c r="N80" i="4"/>
  <c r="I82" i="4"/>
  <c r="F101" i="4"/>
  <c r="O101" i="4"/>
  <c r="M101" i="4"/>
  <c r="K101" i="4"/>
  <c r="J101" i="4"/>
  <c r="P103" i="4"/>
  <c r="L115" i="4"/>
  <c r="K118" i="4"/>
  <c r="P55" i="4"/>
  <c r="N57" i="4"/>
  <c r="O55" i="4"/>
  <c r="N65" i="4"/>
  <c r="N69" i="4"/>
  <c r="I75" i="4"/>
  <c r="M80" i="4"/>
  <c r="N81" i="4"/>
  <c r="O90" i="4"/>
  <c r="F90" i="4"/>
  <c r="O94" i="4"/>
  <c r="K96" i="4"/>
  <c r="D97" i="4"/>
  <c r="J100" i="4"/>
  <c r="M103" i="4"/>
  <c r="M111" i="4"/>
  <c r="D113" i="4"/>
  <c r="L119" i="4"/>
  <c r="L123" i="4"/>
  <c r="I123" i="4" s="1"/>
  <c r="H123" i="4"/>
  <c r="H126" i="4"/>
  <c r="F129" i="4"/>
  <c r="K129" i="4"/>
  <c r="Q129" i="4"/>
  <c r="I142" i="4"/>
  <c r="I158" i="4"/>
  <c r="N162" i="4"/>
  <c r="I168" i="4"/>
  <c r="I180" i="4"/>
  <c r="Q138" i="4"/>
  <c r="N67" i="4"/>
  <c r="D68" i="4"/>
  <c r="H98" i="4"/>
  <c r="Q110" i="4"/>
  <c r="K112" i="4"/>
  <c r="H131" i="4"/>
  <c r="M131" i="4"/>
  <c r="I133" i="4"/>
  <c r="L134" i="4"/>
  <c r="Q135" i="4"/>
  <c r="O103" i="4"/>
  <c r="I170" i="4"/>
  <c r="E178" i="4"/>
  <c r="J96" i="4"/>
  <c r="L96" i="4"/>
  <c r="F103" i="4"/>
  <c r="F111" i="4"/>
  <c r="J111" i="4"/>
  <c r="P111" i="4"/>
  <c r="L112" i="4"/>
  <c r="O114" i="4"/>
  <c r="J124" i="4"/>
  <c r="O124" i="4"/>
  <c r="E177" i="4"/>
  <c r="O99" i="4"/>
  <c r="Q111" i="4"/>
  <c r="P114" i="4"/>
  <c r="F124" i="4"/>
  <c r="I129" i="4"/>
  <c r="M135" i="4"/>
  <c r="L135" i="4"/>
  <c r="E162" i="4"/>
  <c r="N168" i="4"/>
  <c r="I175" i="4"/>
  <c r="I183" i="4"/>
  <c r="E141" i="4"/>
  <c r="I151" i="4"/>
  <c r="N158" i="4"/>
  <c r="E176" i="4"/>
  <c r="J98" i="4"/>
  <c r="K98" i="4"/>
  <c r="J112" i="4"/>
  <c r="O112" i="4"/>
  <c r="P112" i="4"/>
  <c r="K120" i="4"/>
  <c r="P120" i="4"/>
  <c r="J126" i="4"/>
  <c r="K126" i="4"/>
  <c r="Q126" i="4"/>
  <c r="G126" i="4"/>
  <c r="P126" i="4"/>
  <c r="J134" i="4"/>
  <c r="K134" i="4"/>
  <c r="Q134" i="4"/>
  <c r="M134" i="4"/>
  <c r="O108" i="4"/>
  <c r="J108" i="4"/>
  <c r="N165" i="4"/>
  <c r="I169" i="4"/>
  <c r="K138" i="4"/>
  <c r="K137" i="4"/>
  <c r="E68" i="4"/>
  <c r="E84" i="4"/>
  <c r="N85" i="4"/>
  <c r="G95" i="4"/>
  <c r="Q95" i="4"/>
  <c r="F98" i="4"/>
  <c r="P98" i="4"/>
  <c r="F102" i="4"/>
  <c r="Q102" i="4"/>
  <c r="L103" i="4"/>
  <c r="F107" i="4"/>
  <c r="L107" i="4"/>
  <c r="P107" i="4"/>
  <c r="H110" i="4"/>
  <c r="K111" i="4"/>
  <c r="G112" i="4"/>
  <c r="K119" i="4"/>
  <c r="G120" i="4"/>
  <c r="M124" i="4"/>
  <c r="F126" i="4"/>
  <c r="O131" i="4"/>
  <c r="K135" i="4"/>
  <c r="I144" i="4"/>
  <c r="N171" i="4"/>
  <c r="N178" i="4"/>
  <c r="D208" i="4"/>
  <c r="N77" i="4"/>
  <c r="N83" i="4"/>
  <c r="F93" i="4"/>
  <c r="M93" i="4"/>
  <c r="J94" i="4"/>
  <c r="M94" i="4"/>
  <c r="F115" i="4"/>
  <c r="Q115" i="4"/>
  <c r="H115" i="4"/>
  <c r="O115" i="4"/>
  <c r="J118" i="4"/>
  <c r="O118" i="4"/>
  <c r="F125" i="4"/>
  <c r="K125" i="4"/>
  <c r="O125" i="4"/>
  <c r="J128" i="4"/>
  <c r="F133" i="4"/>
  <c r="D132" i="4"/>
  <c r="Q133" i="4"/>
  <c r="J136" i="4"/>
  <c r="Q136" i="4"/>
  <c r="O96" i="4"/>
  <c r="N176" i="4"/>
  <c r="D176" i="4"/>
  <c r="E168" i="4"/>
  <c r="F118" i="4"/>
  <c r="J120" i="4"/>
  <c r="N177" i="4"/>
  <c r="D187" i="4"/>
  <c r="D204" i="4"/>
  <c r="F127" i="4"/>
  <c r="J127" i="4"/>
  <c r="O127" i="4"/>
  <c r="J130" i="4"/>
  <c r="Q130" i="4"/>
  <c r="H130" i="4"/>
  <c r="G101" i="4"/>
  <c r="I156" i="4"/>
  <c r="E158" i="4"/>
  <c r="J114" i="4"/>
  <c r="E10" i="11"/>
  <c r="F131" i="4"/>
  <c r="P134" i="4"/>
  <c r="G133" i="4"/>
  <c r="D211" i="4"/>
  <c r="D199" i="4"/>
  <c r="N39" i="6"/>
  <c r="F123" i="4"/>
  <c r="M50" i="6"/>
  <c r="L57" i="6"/>
  <c r="D55" i="6"/>
  <c r="Q57" i="6"/>
  <c r="K57" i="6"/>
  <c r="F105" i="4"/>
  <c r="M105" i="4"/>
  <c r="J106" i="4"/>
  <c r="M106" i="4"/>
  <c r="F121" i="4"/>
  <c r="M121" i="4"/>
  <c r="J122" i="4"/>
  <c r="M122" i="4"/>
  <c r="F137" i="4"/>
  <c r="M137" i="4"/>
  <c r="J138" i="4"/>
  <c r="M138" i="4"/>
  <c r="E33" i="11"/>
  <c r="E181" i="4"/>
  <c r="F92" i="7"/>
  <c r="P93" i="7"/>
  <c r="N93" i="6"/>
  <c r="Q68" i="6"/>
  <c r="D67" i="6"/>
  <c r="L68" i="6"/>
  <c r="K68" i="6"/>
  <c r="O78" i="7"/>
  <c r="N78" i="6"/>
  <c r="M83" i="7"/>
  <c r="P83" i="7"/>
  <c r="G83" i="7"/>
  <c r="O62" i="6"/>
  <c r="H83" i="7"/>
  <c r="Q83" i="7"/>
  <c r="L83" i="7"/>
  <c r="K83" i="7"/>
  <c r="L60" i="6"/>
  <c r="P60" i="6"/>
  <c r="G60" i="6"/>
  <c r="D59" i="6"/>
  <c r="Q60" i="6"/>
  <c r="F60" i="6"/>
  <c r="O60" i="6"/>
  <c r="P62" i="6"/>
  <c r="F62" i="6"/>
  <c r="M62" i="6"/>
  <c r="L90" i="7"/>
  <c r="I172" i="4"/>
  <c r="G129" i="4"/>
  <c r="N53" i="6"/>
  <c r="H62" i="6"/>
  <c r="H74" i="6"/>
  <c r="D73" i="6"/>
  <c r="G74" i="6"/>
  <c r="J74" i="6"/>
  <c r="J80" i="7"/>
  <c r="J62" i="6"/>
  <c r="P66" i="6"/>
  <c r="P64" i="6" s="1"/>
  <c r="H66" i="6"/>
  <c r="F66" i="6"/>
  <c r="O66" i="6"/>
  <c r="N66" i="6" s="1"/>
  <c r="K66" i="6"/>
  <c r="J66" i="6"/>
  <c r="O86" i="7"/>
  <c r="N86" i="6"/>
  <c r="M91" i="7"/>
  <c r="P91" i="7"/>
  <c r="G91" i="7"/>
  <c r="G74" i="7" s="1"/>
  <c r="O74" i="6"/>
  <c r="F74" i="6"/>
  <c r="H91" i="7"/>
  <c r="Q91" i="7"/>
  <c r="L91" i="7"/>
  <c r="L74" i="7" s="1"/>
  <c r="K91" i="7"/>
  <c r="E51" i="6"/>
  <c r="E39" i="6"/>
  <c r="Q50" i="6"/>
  <c r="Q41" i="6"/>
  <c r="F84" i="7"/>
  <c r="H89" i="7"/>
  <c r="H71" i="6"/>
  <c r="J61" i="6"/>
  <c r="P61" i="6"/>
  <c r="K61" i="6"/>
  <c r="G61" i="6"/>
  <c r="Q62" i="6"/>
  <c r="J88" i="7"/>
  <c r="M82" i="7"/>
  <c r="L82" i="7"/>
  <c r="Q82" i="7"/>
  <c r="H82" i="7"/>
  <c r="P82" i="7"/>
  <c r="O61" i="6"/>
  <c r="N61" i="6" s="1"/>
  <c r="K82" i="7"/>
  <c r="G82" i="7"/>
  <c r="F61" i="6"/>
  <c r="M47" i="6"/>
  <c r="O65" i="6"/>
  <c r="G65" i="6"/>
  <c r="E65" i="6" s="1"/>
  <c r="M65" i="6"/>
  <c r="L65" i="6"/>
  <c r="D64" i="6"/>
  <c r="H65" i="6"/>
  <c r="H64" i="6" s="1"/>
  <c r="J78" i="7"/>
  <c r="M84" i="7"/>
  <c r="Q84" i="7"/>
  <c r="L84" i="7"/>
  <c r="G84" i="7"/>
  <c r="J86" i="7"/>
  <c r="M92" i="7"/>
  <c r="D99" i="6"/>
  <c r="H50" i="6"/>
  <c r="Q69" i="6"/>
  <c r="K69" i="6"/>
  <c r="J69" i="6"/>
  <c r="F69" i="6"/>
  <c r="P84" i="7"/>
  <c r="P85" i="7"/>
  <c r="N85" i="6"/>
  <c r="F76" i="6"/>
  <c r="L76" i="6"/>
  <c r="P76" i="6"/>
  <c r="G76" i="6"/>
  <c r="M76" i="6"/>
  <c r="H76" i="6"/>
  <c r="D112" i="6"/>
  <c r="F63" i="6"/>
  <c r="P63" i="6"/>
  <c r="O80" i="7"/>
  <c r="O88" i="7"/>
  <c r="O56" i="6"/>
  <c r="K56" i="6"/>
  <c r="O58" i="6"/>
  <c r="G63" i="6"/>
  <c r="D70" i="6"/>
  <c r="H78" i="7"/>
  <c r="M79" i="7"/>
  <c r="P79" i="7"/>
  <c r="G79" i="7"/>
  <c r="O57" i="6"/>
  <c r="F57" i="6"/>
  <c r="J57" i="6"/>
  <c r="H79" i="7"/>
  <c r="H57" i="7" s="1"/>
  <c r="Q80" i="7"/>
  <c r="Q58" i="7" s="1"/>
  <c r="H80" i="7"/>
  <c r="H58" i="7" s="1"/>
  <c r="M86" i="7"/>
  <c r="L86" i="7"/>
  <c r="Q86" i="7"/>
  <c r="H86" i="7"/>
  <c r="M87" i="7"/>
  <c r="P87" i="7"/>
  <c r="G87" i="7"/>
  <c r="F68" i="6"/>
  <c r="H87" i="7"/>
  <c r="Q88" i="7"/>
  <c r="Q69" i="7" s="1"/>
  <c r="H88" i="7"/>
  <c r="H69" i="7" s="1"/>
  <c r="L88" i="7"/>
  <c r="L69" i="7" s="1"/>
  <c r="P69" i="6"/>
  <c r="L63" i="6"/>
  <c r="P71" i="6"/>
  <c r="G71" i="6"/>
  <c r="O71" i="6"/>
  <c r="F71" i="6"/>
  <c r="D95" i="6"/>
  <c r="F78" i="7"/>
  <c r="E78" i="6"/>
  <c r="F80" i="7"/>
  <c r="P81" i="7"/>
  <c r="N81" i="6"/>
  <c r="F86" i="7"/>
  <c r="E86" i="7" s="1"/>
  <c r="E86" i="6"/>
  <c r="F88" i="7"/>
  <c r="E88" i="7" s="1"/>
  <c r="P89" i="7"/>
  <c r="P71" i="7" s="1"/>
  <c r="N89" i="6"/>
  <c r="H20" i="6"/>
  <c r="H56" i="6"/>
  <c r="J58" i="6"/>
  <c r="J63" i="6"/>
  <c r="G78" i="7"/>
  <c r="G56" i="7" s="1"/>
  <c r="G86" i="7"/>
  <c r="G88" i="7"/>
  <c r="Q60" i="7"/>
  <c r="F75" i="6"/>
  <c r="M47" i="7"/>
  <c r="D106" i="6"/>
  <c r="K61" i="7"/>
  <c r="H36" i="7"/>
  <c r="P47" i="7"/>
  <c r="J56" i="7"/>
  <c r="H56" i="7"/>
  <c r="H55" i="7" s="1"/>
  <c r="K56" i="7"/>
  <c r="D59" i="7"/>
  <c r="Q62" i="7"/>
  <c r="H62" i="7"/>
  <c r="M62" i="7"/>
  <c r="L62" i="7"/>
  <c r="K62" i="7"/>
  <c r="P62" i="7"/>
  <c r="L72" i="7"/>
  <c r="D95" i="7"/>
  <c r="H50" i="7"/>
  <c r="D55" i="7"/>
  <c r="K57" i="7"/>
  <c r="L57" i="7"/>
  <c r="M57" i="7"/>
  <c r="Q57" i="7"/>
  <c r="G63" i="7"/>
  <c r="Q63" i="7"/>
  <c r="M63" i="7"/>
  <c r="L63" i="7"/>
  <c r="P63" i="7"/>
  <c r="M75" i="6"/>
  <c r="F81" i="7"/>
  <c r="E81" i="6"/>
  <c r="N81" i="7"/>
  <c r="F85" i="7"/>
  <c r="E85" i="7" s="1"/>
  <c r="E85" i="6"/>
  <c r="N85" i="7"/>
  <c r="F89" i="7"/>
  <c r="E89" i="7" s="1"/>
  <c r="E89" i="6"/>
  <c r="N89" i="7"/>
  <c r="F93" i="7"/>
  <c r="E93" i="7" s="1"/>
  <c r="E93" i="6"/>
  <c r="N93" i="7"/>
  <c r="E48" i="7"/>
  <c r="F47" i="7"/>
  <c r="F56" i="7"/>
  <c r="G57" i="7"/>
  <c r="O71" i="7"/>
  <c r="P61" i="7"/>
  <c r="H61" i="7"/>
  <c r="Q61" i="7"/>
  <c r="G61" i="7"/>
  <c r="M61" i="7"/>
  <c r="L61" i="7"/>
  <c r="F63" i="7"/>
  <c r="K66" i="7"/>
  <c r="L66" i="7"/>
  <c r="Q66" i="7"/>
  <c r="Q64" i="7" s="1"/>
  <c r="H66" i="7"/>
  <c r="H64" i="7" s="1"/>
  <c r="G66" i="7"/>
  <c r="F66" i="7"/>
  <c r="O66" i="7"/>
  <c r="J66" i="7"/>
  <c r="I66" i="7" s="1"/>
  <c r="I52" i="7"/>
  <c r="M66" i="7"/>
  <c r="M64" i="7" s="1"/>
  <c r="K68" i="7"/>
  <c r="P41" i="7"/>
  <c r="O60" i="7"/>
  <c r="G60" i="7"/>
  <c r="M60" i="7"/>
  <c r="M59" i="7" s="1"/>
  <c r="P60" i="7"/>
  <c r="L68" i="7"/>
  <c r="L67" i="7" s="1"/>
  <c r="L72" i="6"/>
  <c r="L70" i="6" s="1"/>
  <c r="J60" i="6"/>
  <c r="J65" i="6"/>
  <c r="J76" i="6"/>
  <c r="E49" i="7"/>
  <c r="F41" i="7"/>
  <c r="E51" i="7"/>
  <c r="O56" i="7"/>
  <c r="G62" i="7"/>
  <c r="P66" i="7"/>
  <c r="J72" i="6"/>
  <c r="J75" i="6"/>
  <c r="K81" i="7"/>
  <c r="K60" i="7" s="1"/>
  <c r="K85" i="7"/>
  <c r="K89" i="7"/>
  <c r="K71" i="7" s="1"/>
  <c r="K93" i="7"/>
  <c r="K76" i="7" s="1"/>
  <c r="P56" i="7"/>
  <c r="P57" i="7"/>
  <c r="D64" i="7"/>
  <c r="D67" i="7"/>
  <c r="Q68" i="7"/>
  <c r="H68" i="7"/>
  <c r="H67" i="7" s="1"/>
  <c r="P68" i="7"/>
  <c r="G68" i="7"/>
  <c r="M68" i="7"/>
  <c r="L71" i="7"/>
  <c r="L70" i="7" s="1"/>
  <c r="Q71" i="7"/>
  <c r="H71" i="7"/>
  <c r="D70" i="7"/>
  <c r="F71" i="7"/>
  <c r="M76" i="7"/>
  <c r="P76" i="7"/>
  <c r="G76" i="7"/>
  <c r="O76" i="7"/>
  <c r="F76" i="7"/>
  <c r="E76" i="7" s="1"/>
  <c r="L76" i="7"/>
  <c r="Q76" i="7"/>
  <c r="H76" i="7"/>
  <c r="M74" i="7"/>
  <c r="D73" i="7"/>
  <c r="K74" i="7"/>
  <c r="Q74" i="7"/>
  <c r="H74" i="7"/>
  <c r="P74" i="7"/>
  <c r="M75" i="7"/>
  <c r="E40" i="7"/>
  <c r="P65" i="7"/>
  <c r="P64" i="7" s="1"/>
  <c r="G65" i="7"/>
  <c r="G64" i="7" s="1"/>
  <c r="O65" i="7"/>
  <c r="F65" i="7"/>
  <c r="K65" i="7"/>
  <c r="K64" i="7" s="1"/>
  <c r="O69" i="7"/>
  <c r="G69" i="7"/>
  <c r="K69" i="7"/>
  <c r="J69" i="7"/>
  <c r="O58" i="7"/>
  <c r="F58" i="7"/>
  <c r="L65" i="7"/>
  <c r="L64" i="7" s="1"/>
  <c r="F69" i="7"/>
  <c r="E69" i="7" s="1"/>
  <c r="D106" i="7"/>
  <c r="D112" i="7"/>
  <c r="D104" i="7"/>
  <c r="E45" i="11"/>
  <c r="E17" i="10"/>
  <c r="E12" i="10" s="1"/>
  <c r="E129" i="9"/>
  <c r="E128" i="9" s="1"/>
  <c r="E54" i="11" s="1"/>
  <c r="E184" i="9"/>
  <c r="F13" i="10"/>
  <c r="Q67" i="7" l="1"/>
  <c r="I69" i="7"/>
  <c r="D52" i="4"/>
  <c r="F27" i="4"/>
  <c r="F23" i="4" s="1"/>
  <c r="J59" i="6"/>
  <c r="F67" i="6"/>
  <c r="F55" i="6"/>
  <c r="P23" i="4"/>
  <c r="N69" i="6"/>
  <c r="E74" i="6"/>
  <c r="F73" i="6"/>
  <c r="O95" i="4"/>
  <c r="N62" i="6"/>
  <c r="E123" i="4"/>
  <c r="N108" i="4"/>
  <c r="E53" i="11"/>
  <c r="J64" i="6"/>
  <c r="N103" i="4"/>
  <c r="I57" i="6"/>
  <c r="J55" i="6"/>
  <c r="M23" i="4"/>
  <c r="F12" i="10"/>
  <c r="I48" i="7"/>
  <c r="J47" i="7"/>
  <c r="N56" i="7"/>
  <c r="G36" i="7"/>
  <c r="I46" i="7"/>
  <c r="K67" i="7"/>
  <c r="E46" i="7"/>
  <c r="L41" i="7"/>
  <c r="G44" i="7"/>
  <c r="N49" i="7"/>
  <c r="I39" i="7"/>
  <c r="E48" i="6"/>
  <c r="F47" i="6"/>
  <c r="H36" i="6"/>
  <c r="P20" i="7"/>
  <c r="K71" i="6"/>
  <c r="L80" i="7"/>
  <c r="L58" i="7" s="1"/>
  <c r="L58" i="6"/>
  <c r="Q47" i="7"/>
  <c r="L92" i="7"/>
  <c r="L75" i="7" s="1"/>
  <c r="L75" i="6"/>
  <c r="K84" i="7"/>
  <c r="K63" i="7" s="1"/>
  <c r="K59" i="7" s="1"/>
  <c r="K63" i="6"/>
  <c r="L61" i="6"/>
  <c r="L74" i="6"/>
  <c r="L73" i="6" s="1"/>
  <c r="E49" i="6"/>
  <c r="D49" i="6" s="1"/>
  <c r="E172" i="4"/>
  <c r="G121" i="4"/>
  <c r="P90" i="7"/>
  <c r="P72" i="7" s="1"/>
  <c r="P72" i="6"/>
  <c r="N60" i="6"/>
  <c r="K67" i="6"/>
  <c r="I49" i="6"/>
  <c r="L32" i="6"/>
  <c r="I53" i="6"/>
  <c r="Q127" i="4"/>
  <c r="G57" i="6"/>
  <c r="E45" i="6"/>
  <c r="F44" i="6"/>
  <c r="I34" i="6"/>
  <c r="I161" i="4"/>
  <c r="K47" i="6"/>
  <c r="F138" i="4"/>
  <c r="F26" i="4" s="1"/>
  <c r="F136" i="4"/>
  <c r="E183" i="4"/>
  <c r="I178" i="4"/>
  <c r="N153" i="4"/>
  <c r="E127" i="4"/>
  <c r="G124" i="4"/>
  <c r="P118" i="4"/>
  <c r="K106" i="4"/>
  <c r="M100" i="4"/>
  <c r="L50" i="6"/>
  <c r="P96" i="4"/>
  <c r="G136" i="4"/>
  <c r="G93" i="4"/>
  <c r="E126" i="4"/>
  <c r="G128" i="4"/>
  <c r="E154" i="4"/>
  <c r="E150" i="4"/>
  <c r="E145" i="4"/>
  <c r="F94" i="4"/>
  <c r="I134" i="4"/>
  <c r="I112" i="4"/>
  <c r="H90" i="4"/>
  <c r="N126" i="4"/>
  <c r="F99" i="4"/>
  <c r="E153" i="4"/>
  <c r="L124" i="4"/>
  <c r="Q131" i="4"/>
  <c r="I163" i="4"/>
  <c r="M90" i="4"/>
  <c r="P123" i="4"/>
  <c r="H112" i="4"/>
  <c r="G98" i="4"/>
  <c r="D82" i="4"/>
  <c r="D46" i="4"/>
  <c r="I80" i="4"/>
  <c r="E43" i="4"/>
  <c r="E91" i="4"/>
  <c r="E30" i="10"/>
  <c r="L99" i="4"/>
  <c r="J116" i="4"/>
  <c r="I117" i="4"/>
  <c r="D79" i="4"/>
  <c r="I64" i="4"/>
  <c r="D39" i="4"/>
  <c r="E51" i="11"/>
  <c r="I51" i="7"/>
  <c r="J50" i="7"/>
  <c r="N37" i="7"/>
  <c r="O36" i="7"/>
  <c r="P59" i="7"/>
  <c r="L36" i="7"/>
  <c r="N66" i="7"/>
  <c r="N71" i="7"/>
  <c r="M41" i="7"/>
  <c r="D46" i="7"/>
  <c r="N46" i="7"/>
  <c r="L47" i="7"/>
  <c r="Q44" i="7"/>
  <c r="O41" i="7"/>
  <c r="N42" i="7"/>
  <c r="Q59" i="7"/>
  <c r="P47" i="6"/>
  <c r="Q36" i="6"/>
  <c r="Q20" i="7"/>
  <c r="K47" i="7"/>
  <c r="I49" i="7"/>
  <c r="D49" i="7" s="1"/>
  <c r="M63" i="6"/>
  <c r="G50" i="7"/>
  <c r="H58" i="6"/>
  <c r="E76" i="6"/>
  <c r="L130" i="4"/>
  <c r="I130" i="4" s="1"/>
  <c r="I181" i="4"/>
  <c r="H92" i="7"/>
  <c r="H75" i="7" s="1"/>
  <c r="H75" i="6"/>
  <c r="H73" i="6" s="1"/>
  <c r="O84" i="7"/>
  <c r="N84" i="6"/>
  <c r="O63" i="6"/>
  <c r="J82" i="7"/>
  <c r="I82" i="6"/>
  <c r="E84" i="6"/>
  <c r="D84" i="6" s="1"/>
  <c r="G36" i="6"/>
  <c r="Q66" i="6"/>
  <c r="Q64" i="6" s="1"/>
  <c r="M74" i="6"/>
  <c r="E46" i="6"/>
  <c r="N172" i="4"/>
  <c r="D172" i="4"/>
  <c r="O121" i="4"/>
  <c r="H90" i="7"/>
  <c r="H72" i="7" s="1"/>
  <c r="H70" i="7" s="1"/>
  <c r="H72" i="6"/>
  <c r="G62" i="6"/>
  <c r="E60" i="6"/>
  <c r="F59" i="6"/>
  <c r="G32" i="6"/>
  <c r="G44" i="6"/>
  <c r="E34" i="6"/>
  <c r="M123" i="4"/>
  <c r="K50" i="6"/>
  <c r="P36" i="6"/>
  <c r="N35" i="6"/>
  <c r="P122" i="4"/>
  <c r="N156" i="4"/>
  <c r="O105" i="4"/>
  <c r="E151" i="4"/>
  <c r="D151" i="4" s="1"/>
  <c r="F100" i="4"/>
  <c r="H118" i="4"/>
  <c r="L106" i="4"/>
  <c r="N151" i="4"/>
  <c r="O100" i="4"/>
  <c r="P133" i="4"/>
  <c r="N118" i="4"/>
  <c r="M115" i="4"/>
  <c r="N144" i="4"/>
  <c r="O93" i="4"/>
  <c r="K110" i="4"/>
  <c r="K128" i="4"/>
  <c r="I159" i="4"/>
  <c r="H103" i="4"/>
  <c r="H99" i="4"/>
  <c r="Q94" i="4"/>
  <c r="K115" i="4"/>
  <c r="P90" i="4"/>
  <c r="N152" i="4"/>
  <c r="N163" i="4"/>
  <c r="D163" i="4"/>
  <c r="P108" i="4"/>
  <c r="N149" i="4"/>
  <c r="O98" i="4"/>
  <c r="P135" i="4"/>
  <c r="D178" i="4"/>
  <c r="P109" i="4"/>
  <c r="D80" i="4"/>
  <c r="D45" i="4"/>
  <c r="I119" i="4"/>
  <c r="D19" i="4"/>
  <c r="D77" i="4"/>
  <c r="D81" i="4"/>
  <c r="D34" i="4"/>
  <c r="E117" i="4"/>
  <c r="D47" i="4"/>
  <c r="E55" i="4"/>
  <c r="D65" i="4"/>
  <c r="D99" i="7"/>
  <c r="D94" i="7" s="1"/>
  <c r="E71" i="7"/>
  <c r="G67" i="7"/>
  <c r="K50" i="7"/>
  <c r="L32" i="7"/>
  <c r="J93" i="7"/>
  <c r="I93" i="6"/>
  <c r="D93" i="6" s="1"/>
  <c r="I34" i="7"/>
  <c r="E66" i="7"/>
  <c r="I37" i="7"/>
  <c r="J36" i="7"/>
  <c r="H41" i="7"/>
  <c r="H44" i="7"/>
  <c r="J44" i="7"/>
  <c r="I45" i="7"/>
  <c r="N48" i="7"/>
  <c r="D48" i="7"/>
  <c r="O47" i="7"/>
  <c r="G47" i="6"/>
  <c r="L36" i="6"/>
  <c r="N43" i="7"/>
  <c r="O20" i="7"/>
  <c r="K41" i="7"/>
  <c r="M88" i="7"/>
  <c r="M69" i="7" s="1"/>
  <c r="M67" i="7" s="1"/>
  <c r="M69" i="6"/>
  <c r="K55" i="6"/>
  <c r="Q50" i="7"/>
  <c r="Q58" i="6"/>
  <c r="L69" i="6"/>
  <c r="L67" i="6" s="1"/>
  <c r="Q92" i="7"/>
  <c r="Q75" i="7" s="1"/>
  <c r="Q75" i="6"/>
  <c r="F64" i="6"/>
  <c r="M36" i="6"/>
  <c r="J91" i="7"/>
  <c r="I91" i="6"/>
  <c r="N86" i="7"/>
  <c r="G66" i="6"/>
  <c r="G20" i="6" s="1"/>
  <c r="Q63" i="6"/>
  <c r="H41" i="6"/>
  <c r="Q90" i="7"/>
  <c r="Q72" i="7" s="1"/>
  <c r="Q70" i="7" s="1"/>
  <c r="Q72" i="6"/>
  <c r="Q70" i="6" s="1"/>
  <c r="L62" i="6"/>
  <c r="N33" i="6"/>
  <c r="O32" i="6"/>
  <c r="H44" i="6"/>
  <c r="D34" i="6"/>
  <c r="N34" i="6"/>
  <c r="I35" i="6"/>
  <c r="D35" i="6" s="1"/>
  <c r="H122" i="4"/>
  <c r="E173" i="4"/>
  <c r="K105" i="4"/>
  <c r="H124" i="4"/>
  <c r="Q118" i="4"/>
  <c r="E157" i="4"/>
  <c r="F106" i="4"/>
  <c r="H100" i="4"/>
  <c r="N147" i="4"/>
  <c r="I136" i="4"/>
  <c r="I118" i="4"/>
  <c r="J110" i="4"/>
  <c r="F97" i="4"/>
  <c r="F128" i="4"/>
  <c r="E179" i="4"/>
  <c r="I154" i="4"/>
  <c r="J103" i="4"/>
  <c r="K94" i="4"/>
  <c r="I137" i="4"/>
  <c r="J104" i="4"/>
  <c r="I166" i="4"/>
  <c r="J115" i="4"/>
  <c r="L132" i="4"/>
  <c r="E130" i="4"/>
  <c r="E163" i="4"/>
  <c r="F112" i="4"/>
  <c r="K95" i="4"/>
  <c r="D44" i="4"/>
  <c r="D15" i="4" s="1"/>
  <c r="D78" i="4"/>
  <c r="G102" i="4"/>
  <c r="D70" i="4"/>
  <c r="I91" i="4"/>
  <c r="D42" i="4"/>
  <c r="D30" i="4"/>
  <c r="D76" i="4"/>
  <c r="D43" i="4"/>
  <c r="D14" i="4" s="1"/>
  <c r="D60" i="4"/>
  <c r="E65" i="7"/>
  <c r="F64" i="7"/>
  <c r="E64" i="7" s="1"/>
  <c r="N40" i="7"/>
  <c r="H73" i="7"/>
  <c r="I40" i="7"/>
  <c r="D40" i="7" s="1"/>
  <c r="M50" i="7"/>
  <c r="J89" i="7"/>
  <c r="I89" i="6"/>
  <c r="J71" i="6"/>
  <c r="G32" i="7"/>
  <c r="K44" i="7"/>
  <c r="F44" i="7"/>
  <c r="E44" i="7" s="1"/>
  <c r="E45" i="7"/>
  <c r="O50" i="7"/>
  <c r="D51" i="7"/>
  <c r="N51" i="7"/>
  <c r="G80" i="7"/>
  <c r="G58" i="7" s="1"/>
  <c r="G55" i="7" s="1"/>
  <c r="G58" i="6"/>
  <c r="E58" i="6" s="1"/>
  <c r="N48" i="6"/>
  <c r="O47" i="6"/>
  <c r="E43" i="7"/>
  <c r="F20" i="7"/>
  <c r="L20" i="7"/>
  <c r="M80" i="7"/>
  <c r="M58" i="7" s="1"/>
  <c r="M58" i="6"/>
  <c r="G56" i="6"/>
  <c r="Q41" i="7"/>
  <c r="N88" i="7"/>
  <c r="I39" i="6"/>
  <c r="D39" i="6" s="1"/>
  <c r="G92" i="7"/>
  <c r="G75" i="7" s="1"/>
  <c r="G75" i="6"/>
  <c r="E75" i="6" s="1"/>
  <c r="H84" i="7"/>
  <c r="H63" i="7" s="1"/>
  <c r="H59" i="7" s="1"/>
  <c r="H63" i="6"/>
  <c r="E63" i="6" s="1"/>
  <c r="O82" i="7"/>
  <c r="N82" i="6"/>
  <c r="K60" i="6"/>
  <c r="I88" i="6"/>
  <c r="Q20" i="6"/>
  <c r="F91" i="7"/>
  <c r="E91" i="6"/>
  <c r="G73" i="6"/>
  <c r="J41" i="6"/>
  <c r="I42" i="6"/>
  <c r="M129" i="4"/>
  <c r="E90" i="6"/>
  <c r="F90" i="7"/>
  <c r="F72" i="6"/>
  <c r="M68" i="6"/>
  <c r="M67" i="6" s="1"/>
  <c r="I40" i="6"/>
  <c r="J36" i="6"/>
  <c r="I37" i="6"/>
  <c r="E105" i="4"/>
  <c r="N40" i="6"/>
  <c r="N45" i="6"/>
  <c r="O44" i="6"/>
  <c r="E170" i="4"/>
  <c r="K20" i="6"/>
  <c r="E38" i="6"/>
  <c r="E35" i="6"/>
  <c r="E33" i="6"/>
  <c r="D33" i="6" s="1"/>
  <c r="I182" i="4"/>
  <c r="J131" i="4"/>
  <c r="K122" i="4"/>
  <c r="F36" i="6"/>
  <c r="E36" i="6" s="1"/>
  <c r="N175" i="4"/>
  <c r="E169" i="4"/>
  <c r="Q106" i="4"/>
  <c r="Q100" i="4"/>
  <c r="E147" i="4"/>
  <c r="D147" i="4" s="1"/>
  <c r="F96" i="4"/>
  <c r="I128" i="4"/>
  <c r="M92" i="4"/>
  <c r="L90" i="4"/>
  <c r="N179" i="4"/>
  <c r="O128" i="4"/>
  <c r="I150" i="4"/>
  <c r="L94" i="4"/>
  <c r="G115" i="4"/>
  <c r="E35" i="11"/>
  <c r="Q119" i="4"/>
  <c r="I107" i="4"/>
  <c r="L120" i="4"/>
  <c r="L95" i="4"/>
  <c r="N154" i="4"/>
  <c r="D154" i="4"/>
  <c r="P100" i="4"/>
  <c r="N141" i="4"/>
  <c r="E120" i="4"/>
  <c r="D67" i="4"/>
  <c r="L98" i="4"/>
  <c r="D88" i="4"/>
  <c r="D74" i="4"/>
  <c r="D29" i="4"/>
  <c r="I10" i="4"/>
  <c r="E38" i="4"/>
  <c r="H101" i="4"/>
  <c r="D35" i="4"/>
  <c r="E13" i="4"/>
  <c r="D49" i="4"/>
  <c r="O64" i="7"/>
  <c r="N64" i="7" s="1"/>
  <c r="N65" i="7"/>
  <c r="Q73" i="7"/>
  <c r="N53" i="7"/>
  <c r="E37" i="7"/>
  <c r="D37" i="7" s="1"/>
  <c r="F36" i="7"/>
  <c r="E36" i="7" s="1"/>
  <c r="J85" i="7"/>
  <c r="I85" i="6"/>
  <c r="D85" i="6" s="1"/>
  <c r="G59" i="7"/>
  <c r="E34" i="7"/>
  <c r="D34" i="7" s="1"/>
  <c r="E56" i="7"/>
  <c r="L50" i="7"/>
  <c r="P32" i="7"/>
  <c r="L44" i="7"/>
  <c r="E38" i="7"/>
  <c r="E42" i="7"/>
  <c r="E43" i="6"/>
  <c r="F20" i="6"/>
  <c r="G20" i="7"/>
  <c r="K20" i="7"/>
  <c r="P70" i="7"/>
  <c r="E80" i="6"/>
  <c r="E71" i="6"/>
  <c r="H47" i="7"/>
  <c r="E47" i="7" s="1"/>
  <c r="J87" i="7"/>
  <c r="I87" i="6"/>
  <c r="Q78" i="7"/>
  <c r="Q56" i="7" s="1"/>
  <c r="Q55" i="7" s="1"/>
  <c r="Q56" i="6"/>
  <c r="Q55" i="6" s="1"/>
  <c r="N56" i="6"/>
  <c r="O55" i="6"/>
  <c r="G41" i="7"/>
  <c r="E41" i="7" s="1"/>
  <c r="H69" i="6"/>
  <c r="J92" i="7"/>
  <c r="I92" i="6"/>
  <c r="I86" i="6"/>
  <c r="D86" i="6" s="1"/>
  <c r="E52" i="6"/>
  <c r="I88" i="7"/>
  <c r="D88" i="7" s="1"/>
  <c r="I61" i="6"/>
  <c r="Q47" i="6"/>
  <c r="G50" i="6"/>
  <c r="E50" i="6" s="1"/>
  <c r="O91" i="7"/>
  <c r="N91" i="6"/>
  <c r="D91" i="6"/>
  <c r="I80" i="7"/>
  <c r="J58" i="7"/>
  <c r="P74" i="6"/>
  <c r="H61" i="6"/>
  <c r="H59" i="6" s="1"/>
  <c r="K41" i="6"/>
  <c r="E180" i="4"/>
  <c r="G90" i="7"/>
  <c r="G72" i="7" s="1"/>
  <c r="G70" i="7" s="1"/>
  <c r="G72" i="6"/>
  <c r="M90" i="7"/>
  <c r="M72" i="7" s="1"/>
  <c r="M72" i="6"/>
  <c r="M70" i="6" s="1"/>
  <c r="J83" i="7"/>
  <c r="I83" i="6"/>
  <c r="N78" i="7"/>
  <c r="I46" i="6"/>
  <c r="D46" i="6" s="1"/>
  <c r="E92" i="6"/>
  <c r="M32" i="6"/>
  <c r="J47" i="6"/>
  <c r="I48" i="6"/>
  <c r="D48" i="6" s="1"/>
  <c r="M57" i="6"/>
  <c r="J44" i="6"/>
  <c r="I45" i="6"/>
  <c r="D45" i="6" s="1"/>
  <c r="N170" i="4"/>
  <c r="D170" i="4"/>
  <c r="K32" i="6"/>
  <c r="I38" i="6"/>
  <c r="J32" i="6"/>
  <c r="F32" i="6"/>
  <c r="N183" i="4"/>
  <c r="D183" i="4"/>
  <c r="O137" i="4"/>
  <c r="O133" i="4"/>
  <c r="O136" i="4"/>
  <c r="O138" i="4"/>
  <c r="O26" i="4" s="1"/>
  <c r="E182" i="4"/>
  <c r="I173" i="4"/>
  <c r="G118" i="4"/>
  <c r="D158" i="4"/>
  <c r="Q101" i="4"/>
  <c r="I157" i="4"/>
  <c r="Q132" i="4"/>
  <c r="E93" i="4"/>
  <c r="F92" i="4"/>
  <c r="H128" i="4"/>
  <c r="L93" i="4"/>
  <c r="K114" i="4"/>
  <c r="K108" i="4"/>
  <c r="P102" i="4"/>
  <c r="L128" i="4"/>
  <c r="G108" i="4"/>
  <c r="G104" i="4" s="1"/>
  <c r="K103" i="4"/>
  <c r="G99" i="4"/>
  <c r="I145" i="4"/>
  <c r="I98" i="4"/>
  <c r="J132" i="4"/>
  <c r="D168" i="4"/>
  <c r="N166" i="4"/>
  <c r="O135" i="4"/>
  <c r="H119" i="4"/>
  <c r="N150" i="4"/>
  <c r="D150" i="4"/>
  <c r="O113" i="4"/>
  <c r="N114" i="4"/>
  <c r="L111" i="4"/>
  <c r="I96" i="4"/>
  <c r="J95" i="4"/>
  <c r="E149" i="4"/>
  <c r="Q109" i="4"/>
  <c r="I152" i="4"/>
  <c r="I100" i="4"/>
  <c r="F89" i="4"/>
  <c r="F12" i="4"/>
  <c r="I135" i="4"/>
  <c r="N107" i="4"/>
  <c r="L101" i="4"/>
  <c r="D59" i="4"/>
  <c r="N111" i="4"/>
  <c r="K127" i="4"/>
  <c r="I127" i="4" s="1"/>
  <c r="I13" i="4"/>
  <c r="D71" i="4"/>
  <c r="L27" i="4"/>
  <c r="N117" i="4"/>
  <c r="N61" i="4"/>
  <c r="D75" i="4"/>
  <c r="K27" i="4"/>
  <c r="K73" i="7"/>
  <c r="N52" i="7"/>
  <c r="J81" i="7"/>
  <c r="I81" i="6"/>
  <c r="D81" i="6" s="1"/>
  <c r="N60" i="7"/>
  <c r="N34" i="7"/>
  <c r="E53" i="7"/>
  <c r="D53" i="7" s="1"/>
  <c r="D89" i="6"/>
  <c r="H32" i="7"/>
  <c r="M44" i="7"/>
  <c r="N39" i="7"/>
  <c r="E39" i="7"/>
  <c r="D39" i="7" s="1"/>
  <c r="I63" i="6"/>
  <c r="O20" i="6"/>
  <c r="N43" i="6"/>
  <c r="H20" i="7"/>
  <c r="Q36" i="7"/>
  <c r="E88" i="6"/>
  <c r="D88" i="6" s="1"/>
  <c r="E80" i="7"/>
  <c r="D80" i="7" s="1"/>
  <c r="N71" i="6"/>
  <c r="F87" i="7"/>
  <c r="E87" i="6"/>
  <c r="J79" i="7"/>
  <c r="I79" i="6"/>
  <c r="L78" i="7"/>
  <c r="L56" i="7" s="1"/>
  <c r="L55" i="7" s="1"/>
  <c r="L56" i="6"/>
  <c r="L55" i="6" s="1"/>
  <c r="G47" i="7"/>
  <c r="O32" i="7"/>
  <c r="H47" i="6"/>
  <c r="O92" i="7"/>
  <c r="D92" i="6"/>
  <c r="N92" i="6"/>
  <c r="O75" i="6"/>
  <c r="I86" i="7"/>
  <c r="D86" i="7" s="1"/>
  <c r="K65" i="6"/>
  <c r="K64" i="6" s="1"/>
  <c r="M61" i="6"/>
  <c r="M59" i="6" s="1"/>
  <c r="G73" i="7"/>
  <c r="L66" i="6"/>
  <c r="L64" i="6" s="1"/>
  <c r="I62" i="6"/>
  <c r="I80" i="6"/>
  <c r="L41" i="6"/>
  <c r="D180" i="4"/>
  <c r="N180" i="4"/>
  <c r="O129" i="4"/>
  <c r="J90" i="7"/>
  <c r="I90" i="6"/>
  <c r="E62" i="6"/>
  <c r="G59" i="6"/>
  <c r="F83" i="7"/>
  <c r="E83" i="6"/>
  <c r="D83" i="6" s="1"/>
  <c r="H68" i="6"/>
  <c r="Q67" i="6"/>
  <c r="N46" i="6"/>
  <c r="E92" i="7"/>
  <c r="F75" i="7"/>
  <c r="E75" i="7" s="1"/>
  <c r="P32" i="6"/>
  <c r="P31" i="6" s="1"/>
  <c r="I43" i="6"/>
  <c r="J20" i="6"/>
  <c r="D181" i="4"/>
  <c r="H57" i="6"/>
  <c r="L44" i="6"/>
  <c r="M44" i="6"/>
  <c r="I33" i="6"/>
  <c r="E37" i="6"/>
  <c r="D37" i="6" s="1"/>
  <c r="H135" i="4"/>
  <c r="H137" i="4"/>
  <c r="H136" i="4"/>
  <c r="H138" i="4"/>
  <c r="N182" i="4"/>
  <c r="L105" i="4"/>
  <c r="I171" i="4"/>
  <c r="H106" i="4"/>
  <c r="N125" i="4"/>
  <c r="H134" i="4"/>
  <c r="G109" i="4"/>
  <c r="M128" i="4"/>
  <c r="H108" i="4"/>
  <c r="P99" i="4"/>
  <c r="N99" i="4" s="1"/>
  <c r="K132" i="4"/>
  <c r="L126" i="4"/>
  <c r="Q90" i="4"/>
  <c r="F135" i="4"/>
  <c r="G103" i="4"/>
  <c r="Q124" i="4"/>
  <c r="L114" i="4"/>
  <c r="H94" i="4"/>
  <c r="G131" i="4"/>
  <c r="N169" i="4"/>
  <c r="I149" i="4"/>
  <c r="H120" i="4"/>
  <c r="O89" i="4"/>
  <c r="N90" i="4"/>
  <c r="O12" i="4"/>
  <c r="N55" i="4"/>
  <c r="N120" i="4"/>
  <c r="D9" i="4"/>
  <c r="D87" i="4"/>
  <c r="I50" i="4"/>
  <c r="D142" i="4"/>
  <c r="E50" i="4"/>
  <c r="D86" i="4"/>
  <c r="E32" i="4"/>
  <c r="D33" i="4"/>
  <c r="E64" i="4"/>
  <c r="N76" i="7"/>
  <c r="E52" i="7"/>
  <c r="D52" i="7" s="1"/>
  <c r="F50" i="7"/>
  <c r="E50" i="7" s="1"/>
  <c r="M32" i="7"/>
  <c r="P36" i="7"/>
  <c r="E35" i="7"/>
  <c r="J32" i="7"/>
  <c r="I33" i="7"/>
  <c r="E81" i="7"/>
  <c r="F60" i="7"/>
  <c r="D54" i="7"/>
  <c r="Q32" i="7"/>
  <c r="Q31" i="7" s="1"/>
  <c r="N45" i="7"/>
  <c r="O44" i="7"/>
  <c r="D45" i="7"/>
  <c r="N38" i="7"/>
  <c r="I35" i="7"/>
  <c r="I58" i="6"/>
  <c r="J20" i="7"/>
  <c r="I20" i="7" s="1"/>
  <c r="I43" i="7"/>
  <c r="K32" i="7"/>
  <c r="D94" i="6"/>
  <c r="G70" i="6"/>
  <c r="P88" i="7"/>
  <c r="P69" i="7" s="1"/>
  <c r="N88" i="6"/>
  <c r="O87" i="7"/>
  <c r="D87" i="6"/>
  <c r="N87" i="6"/>
  <c r="L59" i="7"/>
  <c r="F79" i="7"/>
  <c r="E79" i="6"/>
  <c r="D79" i="6" s="1"/>
  <c r="M78" i="7"/>
  <c r="M56" i="7" s="1"/>
  <c r="M56" i="6"/>
  <c r="N33" i="7"/>
  <c r="P92" i="7"/>
  <c r="P75" i="7" s="1"/>
  <c r="P75" i="6"/>
  <c r="I78" i="6"/>
  <c r="D78" i="6" s="1"/>
  <c r="G64" i="6"/>
  <c r="M41" i="6"/>
  <c r="H70" i="6"/>
  <c r="F41" i="6"/>
  <c r="E41" i="6" s="1"/>
  <c r="E42" i="6"/>
  <c r="D42" i="6" s="1"/>
  <c r="M66" i="6"/>
  <c r="M20" i="6" s="1"/>
  <c r="I74" i="6"/>
  <c r="J73" i="6"/>
  <c r="N52" i="6"/>
  <c r="D52" i="6"/>
  <c r="G41" i="6"/>
  <c r="K90" i="7"/>
  <c r="K72" i="7" s="1"/>
  <c r="K70" i="7" s="1"/>
  <c r="K72" i="6"/>
  <c r="I72" i="6" s="1"/>
  <c r="N76" i="6"/>
  <c r="P59" i="6"/>
  <c r="O83" i="7"/>
  <c r="N83" i="6"/>
  <c r="P68" i="6"/>
  <c r="P67" i="6" s="1"/>
  <c r="G68" i="6"/>
  <c r="Q32" i="6"/>
  <c r="J50" i="6"/>
  <c r="I50" i="6" s="1"/>
  <c r="I51" i="6"/>
  <c r="M127" i="4"/>
  <c r="I138" i="4"/>
  <c r="E121" i="4"/>
  <c r="P57" i="6"/>
  <c r="N49" i="6"/>
  <c r="P44" i="6"/>
  <c r="K44" i="6"/>
  <c r="N174" i="4"/>
  <c r="O123" i="4"/>
  <c r="N161" i="4"/>
  <c r="D161" i="4"/>
  <c r="G135" i="4"/>
  <c r="G137" i="4"/>
  <c r="G138" i="4"/>
  <c r="G134" i="4"/>
  <c r="L131" i="4"/>
  <c r="I153" i="4"/>
  <c r="E165" i="4"/>
  <c r="F114" i="4"/>
  <c r="E156" i="4"/>
  <c r="E152" i="4"/>
  <c r="N127" i="4"/>
  <c r="P106" i="4"/>
  <c r="N157" i="4"/>
  <c r="L47" i="6"/>
  <c r="N173" i="4"/>
  <c r="H133" i="4"/>
  <c r="I125" i="4"/>
  <c r="P93" i="4"/>
  <c r="O102" i="4"/>
  <c r="Q128" i="4"/>
  <c r="I177" i="4"/>
  <c r="N159" i="4"/>
  <c r="M99" i="4"/>
  <c r="F134" i="4"/>
  <c r="E18" i="11"/>
  <c r="P115" i="4"/>
  <c r="I141" i="4"/>
  <c r="O119" i="4"/>
  <c r="E175" i="4"/>
  <c r="K124" i="4"/>
  <c r="H114" i="4"/>
  <c r="E111" i="4"/>
  <c r="M108" i="4"/>
  <c r="G94" i="4"/>
  <c r="E129" i="4"/>
  <c r="K99" i="4"/>
  <c r="K97" i="4" s="1"/>
  <c r="J90" i="4"/>
  <c r="P131" i="4"/>
  <c r="I101" i="4"/>
  <c r="P101" i="4"/>
  <c r="N101" i="4" s="1"/>
  <c r="N64" i="4"/>
  <c r="J92" i="4"/>
  <c r="P124" i="4"/>
  <c r="D66" i="4"/>
  <c r="D57" i="4"/>
  <c r="E144" i="4"/>
  <c r="I32" i="4"/>
  <c r="N10" i="4"/>
  <c r="I55" i="4"/>
  <c r="E58" i="7"/>
  <c r="N69" i="7"/>
  <c r="M73" i="7"/>
  <c r="P50" i="7"/>
  <c r="I42" i="7"/>
  <c r="J41" i="7"/>
  <c r="I41" i="7" s="1"/>
  <c r="M36" i="7"/>
  <c r="I53" i="7"/>
  <c r="E33" i="7"/>
  <c r="D33" i="7" s="1"/>
  <c r="F32" i="7"/>
  <c r="K55" i="7"/>
  <c r="P44" i="7"/>
  <c r="I38" i="7"/>
  <c r="D38" i="7" s="1"/>
  <c r="H55" i="6"/>
  <c r="P20" i="6"/>
  <c r="P41" i="6"/>
  <c r="M20" i="7"/>
  <c r="K36" i="7"/>
  <c r="E78" i="7"/>
  <c r="D78" i="7" s="1"/>
  <c r="P70" i="6"/>
  <c r="P80" i="7"/>
  <c r="P58" i="7" s="1"/>
  <c r="N58" i="7" s="1"/>
  <c r="P58" i="6"/>
  <c r="N80" i="6"/>
  <c r="O79" i="7"/>
  <c r="N79" i="6"/>
  <c r="N35" i="7"/>
  <c r="K76" i="6"/>
  <c r="I76" i="6" s="1"/>
  <c r="G69" i="6"/>
  <c r="E69" i="6" s="1"/>
  <c r="K92" i="7"/>
  <c r="K75" i="7" s="1"/>
  <c r="K75" i="6"/>
  <c r="I75" i="6" s="1"/>
  <c r="J84" i="7"/>
  <c r="I84" i="6"/>
  <c r="I78" i="7"/>
  <c r="O64" i="6"/>
  <c r="N64" i="6" s="1"/>
  <c r="N65" i="6"/>
  <c r="E82" i="6"/>
  <c r="D82" i="6" s="1"/>
  <c r="F82" i="7"/>
  <c r="E40" i="6"/>
  <c r="L73" i="7"/>
  <c r="K74" i="6"/>
  <c r="K73" i="6" s="1"/>
  <c r="Q74" i="6"/>
  <c r="N51" i="6"/>
  <c r="D51" i="6"/>
  <c r="O50" i="6"/>
  <c r="O41" i="6"/>
  <c r="N42" i="6"/>
  <c r="L121" i="4"/>
  <c r="O90" i="7"/>
  <c r="N90" i="6"/>
  <c r="D90" i="6"/>
  <c r="O72" i="6"/>
  <c r="O70" i="6" s="1"/>
  <c r="K62" i="6"/>
  <c r="L59" i="6"/>
  <c r="J68" i="6"/>
  <c r="O68" i="6"/>
  <c r="H32" i="6"/>
  <c r="H31" i="6" s="1"/>
  <c r="I52" i="6"/>
  <c r="D54" i="6"/>
  <c r="Q61" i="6"/>
  <c r="E53" i="6"/>
  <c r="D53" i="6" s="1"/>
  <c r="Q44" i="6"/>
  <c r="E174" i="4"/>
  <c r="K36" i="6"/>
  <c r="N38" i="6"/>
  <c r="D38" i="6"/>
  <c r="O36" i="6"/>
  <c r="P137" i="4"/>
  <c r="P138" i="4"/>
  <c r="I165" i="4"/>
  <c r="Q105" i="4"/>
  <c r="M118" i="4"/>
  <c r="I162" i="4"/>
  <c r="L20" i="6"/>
  <c r="P136" i="4"/>
  <c r="E125" i="4"/>
  <c r="E115" i="4"/>
  <c r="K93" i="4"/>
  <c r="O110" i="4"/>
  <c r="E107" i="4"/>
  <c r="J102" i="4"/>
  <c r="D84" i="4"/>
  <c r="I179" i="4"/>
  <c r="E159" i="4"/>
  <c r="F108" i="4"/>
  <c r="P94" i="4"/>
  <c r="E28" i="11"/>
  <c r="O134" i="4"/>
  <c r="I126" i="4"/>
  <c r="N112" i="4"/>
  <c r="E171" i="4"/>
  <c r="M132" i="4"/>
  <c r="E166" i="4"/>
  <c r="N145" i="4"/>
  <c r="G90" i="4"/>
  <c r="E90" i="4" s="1"/>
  <c r="F119" i="4"/>
  <c r="F116" i="4" s="1"/>
  <c r="J99" i="4"/>
  <c r="J97" i="4" s="1"/>
  <c r="N124" i="4"/>
  <c r="Q114" i="4"/>
  <c r="Q103" i="4"/>
  <c r="L108" i="4"/>
  <c r="M98" i="4"/>
  <c r="Q98" i="4"/>
  <c r="D73" i="4"/>
  <c r="F109" i="4"/>
  <c r="E110" i="4"/>
  <c r="M112" i="4"/>
  <c r="D83" i="4"/>
  <c r="N91" i="4"/>
  <c r="E61" i="4"/>
  <c r="G116" i="4"/>
  <c r="J27" i="4"/>
  <c r="D54" i="4"/>
  <c r="G27" i="4"/>
  <c r="K26" i="4"/>
  <c r="D58" i="4"/>
  <c r="H27" i="4"/>
  <c r="H54" i="7" l="1"/>
  <c r="G54" i="7"/>
  <c r="D42" i="7"/>
  <c r="D43" i="7"/>
  <c r="N70" i="6"/>
  <c r="E72" i="6"/>
  <c r="D43" i="6"/>
  <c r="F104" i="4"/>
  <c r="D50" i="4"/>
  <c r="E12" i="4"/>
  <c r="Q73" i="6"/>
  <c r="K54" i="7"/>
  <c r="D175" i="4"/>
  <c r="D174" i="4"/>
  <c r="G67" i="6"/>
  <c r="E67" i="6" s="1"/>
  <c r="I73" i="6"/>
  <c r="J23" i="4"/>
  <c r="I27" i="4"/>
  <c r="E46" i="11"/>
  <c r="Q104" i="4"/>
  <c r="N36" i="6"/>
  <c r="E32" i="7"/>
  <c r="E31" i="7" s="1"/>
  <c r="F31" i="7"/>
  <c r="K116" i="4"/>
  <c r="H132" i="4"/>
  <c r="N123" i="4"/>
  <c r="J31" i="7"/>
  <c r="I32" i="7"/>
  <c r="L113" i="4"/>
  <c r="N129" i="4"/>
  <c r="N75" i="6"/>
  <c r="E87" i="7"/>
  <c r="F68" i="7"/>
  <c r="O116" i="4"/>
  <c r="E98" i="4"/>
  <c r="N137" i="4"/>
  <c r="M70" i="7"/>
  <c r="P73" i="6"/>
  <c r="M116" i="4"/>
  <c r="L97" i="4"/>
  <c r="I41" i="6"/>
  <c r="N47" i="6"/>
  <c r="I71" i="6"/>
  <c r="J70" i="6"/>
  <c r="P55" i="7"/>
  <c r="D16" i="4"/>
  <c r="N100" i="4"/>
  <c r="E137" i="4"/>
  <c r="N41" i="7"/>
  <c r="D41" i="7"/>
  <c r="H89" i="4"/>
  <c r="H26" i="4"/>
  <c r="H12" i="4"/>
  <c r="E94" i="4"/>
  <c r="P95" i="4"/>
  <c r="L31" i="6"/>
  <c r="N96" i="4"/>
  <c r="N102" i="4"/>
  <c r="D152" i="4"/>
  <c r="E101" i="4"/>
  <c r="P55" i="6"/>
  <c r="P54" i="6" s="1"/>
  <c r="N80" i="7"/>
  <c r="K31" i="7"/>
  <c r="D35" i="7"/>
  <c r="D55" i="4"/>
  <c r="L104" i="4"/>
  <c r="H67" i="6"/>
  <c r="I95" i="4"/>
  <c r="I132" i="4"/>
  <c r="K113" i="4"/>
  <c r="K31" i="6"/>
  <c r="I44" i="6"/>
  <c r="I58" i="7"/>
  <c r="I92" i="7"/>
  <c r="J75" i="7"/>
  <c r="Q54" i="7"/>
  <c r="I85" i="7"/>
  <c r="D85" i="7" s="1"/>
  <c r="J65" i="7"/>
  <c r="D13" i="4"/>
  <c r="N128" i="4"/>
  <c r="N44" i="6"/>
  <c r="I122" i="4"/>
  <c r="K59" i="6"/>
  <c r="G55" i="6"/>
  <c r="E56" i="6"/>
  <c r="N50" i="7"/>
  <c r="I56" i="7"/>
  <c r="P67" i="7"/>
  <c r="I115" i="4"/>
  <c r="E106" i="4"/>
  <c r="M104" i="4"/>
  <c r="D17" i="4"/>
  <c r="E124" i="4"/>
  <c r="P97" i="4"/>
  <c r="M113" i="4"/>
  <c r="N122" i="4"/>
  <c r="I82" i="7"/>
  <c r="D82" i="7" s="1"/>
  <c r="J61" i="7"/>
  <c r="N58" i="6"/>
  <c r="G97" i="4"/>
  <c r="D145" i="4"/>
  <c r="K70" i="6"/>
  <c r="E118" i="4"/>
  <c r="E131" i="4"/>
  <c r="O73" i="6"/>
  <c r="N73" i="6" s="1"/>
  <c r="I114" i="4"/>
  <c r="E68" i="6"/>
  <c r="I89" i="7"/>
  <c r="D89" i="7" s="1"/>
  <c r="J71" i="7"/>
  <c r="D157" i="4"/>
  <c r="E29" i="11"/>
  <c r="N32" i="6"/>
  <c r="O31" i="6"/>
  <c r="I93" i="7"/>
  <c r="D93" i="7" s="1"/>
  <c r="J76" i="7"/>
  <c r="I94" i="4"/>
  <c r="E100" i="4"/>
  <c r="M73" i="6"/>
  <c r="N63" i="6"/>
  <c r="I50" i="7"/>
  <c r="D50" i="7" s="1"/>
  <c r="Q92" i="4"/>
  <c r="E30" i="11"/>
  <c r="E42" i="11"/>
  <c r="H109" i="4"/>
  <c r="I106" i="4"/>
  <c r="E66" i="6"/>
  <c r="I69" i="6"/>
  <c r="I55" i="6"/>
  <c r="N74" i="6"/>
  <c r="E73" i="6"/>
  <c r="I131" i="4"/>
  <c r="E90" i="7"/>
  <c r="F72" i="7"/>
  <c r="I66" i="6"/>
  <c r="G31" i="7"/>
  <c r="H97" i="4"/>
  <c r="I110" i="4"/>
  <c r="J109" i="4"/>
  <c r="Q116" i="4"/>
  <c r="D173" i="4"/>
  <c r="I91" i="7"/>
  <c r="J74" i="7"/>
  <c r="N20" i="7"/>
  <c r="I44" i="7"/>
  <c r="P89" i="4"/>
  <c r="P12" i="4"/>
  <c r="P26" i="4"/>
  <c r="K109" i="4"/>
  <c r="N105" i="4"/>
  <c r="O104" i="4"/>
  <c r="G31" i="6"/>
  <c r="N121" i="4"/>
  <c r="E102" i="4"/>
  <c r="E99" i="4"/>
  <c r="E136" i="4"/>
  <c r="E63" i="7"/>
  <c r="J113" i="4"/>
  <c r="E122" i="4"/>
  <c r="N47" i="7"/>
  <c r="I36" i="7"/>
  <c r="D36" i="7" s="1"/>
  <c r="L31" i="7"/>
  <c r="P73" i="7"/>
  <c r="N98" i="4"/>
  <c r="O97" i="4"/>
  <c r="N93" i="4"/>
  <c r="O92" i="4"/>
  <c r="P116" i="4"/>
  <c r="E29" i="10"/>
  <c r="M89" i="4"/>
  <c r="M26" i="4"/>
  <c r="M12" i="4"/>
  <c r="E138" i="4"/>
  <c r="E84" i="7"/>
  <c r="G132" i="4"/>
  <c r="N57" i="6"/>
  <c r="Q113" i="4"/>
  <c r="N72" i="6"/>
  <c r="D41" i="6"/>
  <c r="N41" i="6"/>
  <c r="N20" i="6"/>
  <c r="L92" i="4"/>
  <c r="D182" i="4"/>
  <c r="E27" i="11"/>
  <c r="E60" i="7"/>
  <c r="N90" i="7"/>
  <c r="O72" i="7"/>
  <c r="G113" i="4"/>
  <c r="D179" i="4"/>
  <c r="F95" i="4"/>
  <c r="D169" i="4"/>
  <c r="N82" i="7"/>
  <c r="O61" i="7"/>
  <c r="M97" i="4"/>
  <c r="E119" i="4"/>
  <c r="D171" i="4"/>
  <c r="N68" i="6"/>
  <c r="O67" i="6"/>
  <c r="N67" i="6" s="1"/>
  <c r="I121" i="4"/>
  <c r="D40" i="6"/>
  <c r="D64" i="4"/>
  <c r="H113" i="4"/>
  <c r="E134" i="4"/>
  <c r="F113" i="4"/>
  <c r="E114" i="4"/>
  <c r="M55" i="7"/>
  <c r="M54" i="7" s="1"/>
  <c r="D44" i="7"/>
  <c r="N44" i="7"/>
  <c r="D32" i="4"/>
  <c r="Q89" i="4"/>
  <c r="Q26" i="4"/>
  <c r="Q12" i="4"/>
  <c r="H104" i="4"/>
  <c r="N136" i="4"/>
  <c r="N91" i="7"/>
  <c r="O74" i="7"/>
  <c r="F70" i="6"/>
  <c r="E70" i="6" s="1"/>
  <c r="N94" i="4"/>
  <c r="E96" i="4"/>
  <c r="I36" i="6"/>
  <c r="D36" i="6" s="1"/>
  <c r="E91" i="7"/>
  <c r="D91" i="7" s="1"/>
  <c r="F74" i="7"/>
  <c r="E20" i="7"/>
  <c r="D20" i="7" s="1"/>
  <c r="D38" i="4"/>
  <c r="D20" i="4"/>
  <c r="I56" i="6"/>
  <c r="Q23" i="4"/>
  <c r="I124" i="4"/>
  <c r="D156" i="4"/>
  <c r="N84" i="7"/>
  <c r="D84" i="7"/>
  <c r="O63" i="7"/>
  <c r="E103" i="4"/>
  <c r="I47" i="7"/>
  <c r="D47" i="7" s="1"/>
  <c r="I108" i="4"/>
  <c r="I60" i="6"/>
  <c r="E89" i="4"/>
  <c r="M109" i="4"/>
  <c r="D159" i="4"/>
  <c r="N87" i="7"/>
  <c r="O68" i="7"/>
  <c r="E83" i="7"/>
  <c r="D83" i="7" s="1"/>
  <c r="F62" i="7"/>
  <c r="F59" i="7" s="1"/>
  <c r="E59" i="7" s="1"/>
  <c r="L54" i="6"/>
  <c r="I87" i="7"/>
  <c r="D87" i="7" s="1"/>
  <c r="J68" i="7"/>
  <c r="Q97" i="4"/>
  <c r="I84" i="7"/>
  <c r="J63" i="7"/>
  <c r="J89" i="4"/>
  <c r="I90" i="4"/>
  <c r="J12" i="4"/>
  <c r="J26" i="4"/>
  <c r="H92" i="4"/>
  <c r="E92" i="4" s="1"/>
  <c r="I81" i="7"/>
  <c r="J60" i="7"/>
  <c r="L109" i="4"/>
  <c r="J31" i="6"/>
  <c r="I32" i="6"/>
  <c r="I47" i="6"/>
  <c r="G23" i="4"/>
  <c r="G89" i="4"/>
  <c r="G26" i="4"/>
  <c r="G12" i="4"/>
  <c r="J67" i="6"/>
  <c r="I67" i="6" s="1"/>
  <c r="I68" i="6"/>
  <c r="E82" i="7"/>
  <c r="F61" i="7"/>
  <c r="N79" i="7"/>
  <c r="O57" i="7"/>
  <c r="O23" i="4"/>
  <c r="D18" i="4"/>
  <c r="E32" i="11"/>
  <c r="E49" i="11"/>
  <c r="D177" i="4"/>
  <c r="P104" i="4"/>
  <c r="N106" i="4"/>
  <c r="D165" i="4"/>
  <c r="M31" i="7"/>
  <c r="I111" i="4"/>
  <c r="I79" i="7"/>
  <c r="D79" i="7" s="1"/>
  <c r="J57" i="7"/>
  <c r="H31" i="7"/>
  <c r="D61" i="4"/>
  <c r="D166" i="4"/>
  <c r="I83" i="7"/>
  <c r="J62" i="7"/>
  <c r="M64" i="6"/>
  <c r="N55" i="6"/>
  <c r="P31" i="7"/>
  <c r="L89" i="4"/>
  <c r="L12" i="4"/>
  <c r="L26" i="4"/>
  <c r="L116" i="4"/>
  <c r="E128" i="4"/>
  <c r="E133" i="4"/>
  <c r="E64" i="6"/>
  <c r="K54" i="6"/>
  <c r="D149" i="4"/>
  <c r="D144" i="4"/>
  <c r="P132" i="4"/>
  <c r="H116" i="4"/>
  <c r="E59" i="6"/>
  <c r="P113" i="4"/>
  <c r="G92" i="4"/>
  <c r="D153" i="4"/>
  <c r="E47" i="6"/>
  <c r="D47" i="6" s="1"/>
  <c r="E61" i="6"/>
  <c r="I64" i="6"/>
  <c r="N95" i="4"/>
  <c r="E9" i="11"/>
  <c r="E55" i="6"/>
  <c r="I59" i="6"/>
  <c r="E108" i="4"/>
  <c r="H54" i="6"/>
  <c r="N134" i="4"/>
  <c r="N110" i="4"/>
  <c r="O109" i="4"/>
  <c r="N115" i="4"/>
  <c r="H23" i="4"/>
  <c r="D50" i="6"/>
  <c r="N50" i="6"/>
  <c r="I92" i="4"/>
  <c r="N119" i="4"/>
  <c r="N131" i="4"/>
  <c r="N83" i="7"/>
  <c r="O62" i="7"/>
  <c r="N12" i="4"/>
  <c r="E135" i="4"/>
  <c r="N92" i="7"/>
  <c r="D92" i="7"/>
  <c r="O75" i="7"/>
  <c r="L23" i="4"/>
  <c r="I97" i="4"/>
  <c r="E32" i="6"/>
  <c r="F31" i="6"/>
  <c r="E20" i="6"/>
  <c r="D10" i="4"/>
  <c r="I99" i="4"/>
  <c r="K92" i="4"/>
  <c r="I93" i="4"/>
  <c r="P92" i="4"/>
  <c r="Q31" i="6"/>
  <c r="M55" i="6"/>
  <c r="M54" i="6" s="1"/>
  <c r="D81" i="7"/>
  <c r="D12" i="4"/>
  <c r="L54" i="7"/>
  <c r="N135" i="4"/>
  <c r="N138" i="4"/>
  <c r="I102" i="4"/>
  <c r="D162" i="4"/>
  <c r="E79" i="7"/>
  <c r="F57" i="7"/>
  <c r="I20" i="6"/>
  <c r="D20" i="6" s="1"/>
  <c r="I90" i="7"/>
  <c r="D90" i="7" s="1"/>
  <c r="J72" i="7"/>
  <c r="D32" i="7"/>
  <c r="O31" i="7"/>
  <c r="N32" i="7"/>
  <c r="K23" i="4"/>
  <c r="N113" i="4"/>
  <c r="N133" i="4"/>
  <c r="O132" i="4"/>
  <c r="M31" i="6"/>
  <c r="D80" i="6"/>
  <c r="E34" i="11"/>
  <c r="E112" i="4"/>
  <c r="I103" i="4"/>
  <c r="F132" i="4"/>
  <c r="K104" i="4"/>
  <c r="I105" i="4"/>
  <c r="Q59" i="6"/>
  <c r="Q54" i="6" s="1"/>
  <c r="D141" i="4"/>
  <c r="N36" i="7"/>
  <c r="E44" i="6"/>
  <c r="D44" i="6" s="1"/>
  <c r="O59" i="6"/>
  <c r="N59" i="6" s="1"/>
  <c r="E27" i="4"/>
  <c r="I65" i="6"/>
  <c r="I120" i="4"/>
  <c r="E57" i="6"/>
  <c r="F54" i="6" l="1"/>
  <c r="O54" i="6"/>
  <c r="N54" i="6" s="1"/>
  <c r="J54" i="6"/>
  <c r="I31" i="6"/>
  <c r="F88" i="4"/>
  <c r="F24" i="4" s="1"/>
  <c r="D27" i="4"/>
  <c r="D21" i="4" s="1"/>
  <c r="E97" i="4"/>
  <c r="E23" i="4"/>
  <c r="L88" i="4"/>
  <c r="E113" i="4"/>
  <c r="E54" i="6"/>
  <c r="G88" i="4"/>
  <c r="N75" i="7"/>
  <c r="I26" i="4"/>
  <c r="N63" i="7"/>
  <c r="I113" i="4"/>
  <c r="I109" i="4"/>
  <c r="G54" i="6"/>
  <c r="I75" i="7"/>
  <c r="I23" i="4"/>
  <c r="N132" i="4"/>
  <c r="I72" i="7"/>
  <c r="E31" i="6"/>
  <c r="N72" i="7"/>
  <c r="O70" i="7"/>
  <c r="N70" i="7" s="1"/>
  <c r="F67" i="7"/>
  <c r="E67" i="7" s="1"/>
  <c r="E68" i="7"/>
  <c r="E57" i="7"/>
  <c r="F55" i="7"/>
  <c r="I57" i="7"/>
  <c r="J55" i="7"/>
  <c r="E31" i="11"/>
  <c r="N23" i="4"/>
  <c r="I12" i="4"/>
  <c r="J67" i="7"/>
  <c r="I67" i="7" s="1"/>
  <c r="I68" i="7"/>
  <c r="N68" i="7"/>
  <c r="O67" i="7"/>
  <c r="N67" i="7" s="1"/>
  <c r="D11" i="4"/>
  <c r="I74" i="7"/>
  <c r="J73" i="7"/>
  <c r="I71" i="7"/>
  <c r="J70" i="7"/>
  <c r="I70" i="7" s="1"/>
  <c r="H88" i="4"/>
  <c r="P54" i="7"/>
  <c r="E116" i="4"/>
  <c r="Q88" i="4"/>
  <c r="N92" i="4"/>
  <c r="E72" i="7"/>
  <c r="F70" i="7"/>
  <c r="E70" i="7" s="1"/>
  <c r="I70" i="6"/>
  <c r="I54" i="6" s="1"/>
  <c r="I60" i="7"/>
  <c r="J59" i="7"/>
  <c r="I59" i="7" s="1"/>
  <c r="J88" i="4"/>
  <c r="I89" i="4"/>
  <c r="E132" i="4"/>
  <c r="N109" i="4"/>
  <c r="I62" i="7"/>
  <c r="N57" i="7"/>
  <c r="O55" i="7"/>
  <c r="M88" i="4"/>
  <c r="N104" i="4"/>
  <c r="P88" i="4"/>
  <c r="I104" i="4"/>
  <c r="I76" i="7"/>
  <c r="I61" i="7"/>
  <c r="I116" i="4"/>
  <c r="I31" i="7"/>
  <c r="D31" i="7" s="1"/>
  <c r="I65" i="7"/>
  <c r="J64" i="7"/>
  <c r="I64" i="7" s="1"/>
  <c r="E62" i="7"/>
  <c r="O73" i="7"/>
  <c r="N73" i="7" s="1"/>
  <c r="N74" i="7"/>
  <c r="O88" i="4"/>
  <c r="N97" i="4"/>
  <c r="E36" i="10"/>
  <c r="D32" i="6"/>
  <c r="E104" i="4"/>
  <c r="I63" i="7"/>
  <c r="E95" i="4"/>
  <c r="N31" i="7"/>
  <c r="K88" i="4"/>
  <c r="N62" i="7"/>
  <c r="E61" i="7"/>
  <c r="E109" i="4"/>
  <c r="E74" i="7"/>
  <c r="E73" i="7" s="1"/>
  <c r="F73" i="7"/>
  <c r="N89" i="4"/>
  <c r="N61" i="7"/>
  <c r="O59" i="7"/>
  <c r="N59" i="7" s="1"/>
  <c r="N31" i="6"/>
  <c r="N116" i="4"/>
  <c r="N26" i="4"/>
  <c r="E26" i="4"/>
  <c r="D31" i="6" l="1"/>
  <c r="N88" i="4"/>
  <c r="O24" i="4"/>
  <c r="D26" i="4"/>
  <c r="I88" i="4"/>
  <c r="J24" i="4"/>
  <c r="I73" i="7"/>
  <c r="K24" i="4"/>
  <c r="M24" i="4"/>
  <c r="L24" i="4"/>
  <c r="F54" i="7"/>
  <c r="E55" i="7"/>
  <c r="E54" i="7" s="1"/>
  <c r="J54" i="7"/>
  <c r="I55" i="7"/>
  <c r="E35" i="10"/>
  <c r="N55" i="7"/>
  <c r="O54" i="7"/>
  <c r="N54" i="7" s="1"/>
  <c r="Q24" i="4"/>
  <c r="G24" i="4"/>
  <c r="P24" i="4"/>
  <c r="D23" i="4"/>
  <c r="H24" i="4"/>
  <c r="E88" i="4"/>
  <c r="E24" i="4" l="1"/>
  <c r="N24" i="4"/>
  <c r="I24" i="4"/>
  <c r="I54" i="7"/>
  <c r="D24" i="4" l="1"/>
  <c r="P235" i="4" l="1"/>
  <c r="G235" i="4"/>
  <c r="F235" i="4"/>
  <c r="Q235" i="4"/>
  <c r="L235" i="4"/>
  <c r="M235" i="4"/>
  <c r="O235" i="4"/>
  <c r="J235" i="4"/>
  <c r="H235" i="4"/>
  <c r="K235" i="4"/>
  <c r="H129" i="7" l="1"/>
  <c r="H113" i="7" s="1"/>
  <c r="H125" i="7"/>
  <c r="H107" i="7" s="1"/>
  <c r="H121" i="7"/>
  <c r="H101" i="7" s="1"/>
  <c r="H15" i="7" s="1"/>
  <c r="H117" i="7"/>
  <c r="H96" i="7" s="1"/>
  <c r="H123" i="7"/>
  <c r="H103" i="7" s="1"/>
  <c r="H17" i="7" s="1"/>
  <c r="H120" i="7"/>
  <c r="H100" i="7" s="1"/>
  <c r="H122" i="7"/>
  <c r="H102" i="7" s="1"/>
  <c r="H16" i="7" s="1"/>
  <c r="H131" i="7"/>
  <c r="H115" i="7" s="1"/>
  <c r="H30" i="7" s="1"/>
  <c r="H128" i="7"/>
  <c r="H111" i="7" s="1"/>
  <c r="H26" i="7" s="1"/>
  <c r="H118" i="7"/>
  <c r="H97" i="7" s="1"/>
  <c r="H11" i="7" s="1"/>
  <c r="H127" i="7"/>
  <c r="H110" i="7" s="1"/>
  <c r="H124" i="7"/>
  <c r="H105" i="7" s="1"/>
  <c r="H130" i="7"/>
  <c r="H114" i="7" s="1"/>
  <c r="H29" i="7" s="1"/>
  <c r="H126" i="7"/>
  <c r="H108" i="7" s="1"/>
  <c r="H23" i="7" s="1"/>
  <c r="H119" i="7"/>
  <c r="H98" i="7" s="1"/>
  <c r="H12" i="7" s="1"/>
  <c r="H130" i="6"/>
  <c r="H114" i="6" s="1"/>
  <c r="H29" i="6" s="1"/>
  <c r="H126" i="6"/>
  <c r="H108" i="6" s="1"/>
  <c r="H23" i="6" s="1"/>
  <c r="H122" i="6"/>
  <c r="H102" i="6" s="1"/>
  <c r="H16" i="6" s="1"/>
  <c r="H118" i="6"/>
  <c r="H97" i="6" s="1"/>
  <c r="H11" i="6" s="1"/>
  <c r="H124" i="6"/>
  <c r="H105" i="6" s="1"/>
  <c r="H120" i="6"/>
  <c r="H100" i="6" s="1"/>
  <c r="H129" i="6"/>
  <c r="H113" i="6" s="1"/>
  <c r="H127" i="6"/>
  <c r="H110" i="6" s="1"/>
  <c r="H121" i="6"/>
  <c r="H101" i="6" s="1"/>
  <c r="H15" i="6" s="1"/>
  <c r="H119" i="6"/>
  <c r="H98" i="6" s="1"/>
  <c r="H12" i="6" s="1"/>
  <c r="H117" i="6"/>
  <c r="H96" i="6" s="1"/>
  <c r="H128" i="6"/>
  <c r="H111" i="6" s="1"/>
  <c r="H26" i="6" s="1"/>
  <c r="H131" i="6"/>
  <c r="H115" i="6" s="1"/>
  <c r="H30" i="6" s="1"/>
  <c r="H123" i="6"/>
  <c r="H103" i="6" s="1"/>
  <c r="H17" i="6" s="1"/>
  <c r="H125" i="6"/>
  <c r="H107" i="6" s="1"/>
  <c r="H225" i="4"/>
  <c r="H227" i="4"/>
  <c r="H226" i="4"/>
  <c r="H214" i="4"/>
  <c r="H210" i="4"/>
  <c r="H229" i="4"/>
  <c r="H202" i="4"/>
  <c r="H191" i="4"/>
  <c r="H194" i="4"/>
  <c r="H220" i="4"/>
  <c r="H207" i="4"/>
  <c r="H221" i="4"/>
  <c r="H219" i="4"/>
  <c r="H233" i="4"/>
  <c r="H224" i="4"/>
  <c r="H222" i="4"/>
  <c r="H203" i="4"/>
  <c r="H195" i="4"/>
  <c r="H201" i="4"/>
  <c r="H189" i="4"/>
  <c r="H188" i="4"/>
  <c r="H209" i="4"/>
  <c r="H205" i="4"/>
  <c r="H193" i="4"/>
  <c r="H216" i="4"/>
  <c r="H232" i="4"/>
  <c r="H200" i="4"/>
  <c r="H218" i="4"/>
  <c r="H213" i="4"/>
  <c r="H231" i="4"/>
  <c r="H230" i="4"/>
  <c r="H206" i="4"/>
  <c r="H217" i="4"/>
  <c r="H197" i="4"/>
  <c r="H223" i="4"/>
  <c r="H212" i="4"/>
  <c r="H215" i="4"/>
  <c r="H186" i="4"/>
  <c r="H196" i="4"/>
  <c r="J130" i="7"/>
  <c r="J126" i="7"/>
  <c r="J122" i="7"/>
  <c r="J118" i="7"/>
  <c r="J129" i="7"/>
  <c r="J131" i="7"/>
  <c r="J124" i="7"/>
  <c r="J121" i="7"/>
  <c r="J127" i="7"/>
  <c r="J120" i="7"/>
  <c r="J117" i="7"/>
  <c r="J128" i="7"/>
  <c r="J123" i="7"/>
  <c r="J119" i="7"/>
  <c r="J125" i="7"/>
  <c r="J131" i="6"/>
  <c r="J127" i="6"/>
  <c r="J123" i="6"/>
  <c r="J119" i="6"/>
  <c r="J118" i="6"/>
  <c r="J129" i="6"/>
  <c r="J121" i="6"/>
  <c r="J130" i="6"/>
  <c r="J128" i="6"/>
  <c r="J126" i="6"/>
  <c r="J124" i="6"/>
  <c r="J117" i="6"/>
  <c r="J120" i="6"/>
  <c r="J125" i="6"/>
  <c r="J122" i="6"/>
  <c r="I235" i="4"/>
  <c r="J225" i="4"/>
  <c r="J207" i="4"/>
  <c r="J219" i="4"/>
  <c r="J221" i="4"/>
  <c r="J197" i="4"/>
  <c r="J195" i="4"/>
  <c r="J229" i="4"/>
  <c r="J230" i="4"/>
  <c r="J203" i="4"/>
  <c r="J217" i="4"/>
  <c r="J233" i="4"/>
  <c r="J201" i="4"/>
  <c r="J227" i="4"/>
  <c r="J210" i="4"/>
  <c r="J188" i="4"/>
  <c r="J206" i="4"/>
  <c r="J191" i="4"/>
  <c r="J223" i="4"/>
  <c r="J189" i="4"/>
  <c r="J226" i="4"/>
  <c r="J222" i="4"/>
  <c r="J205" i="4"/>
  <c r="J212" i="4"/>
  <c r="J215" i="4"/>
  <c r="J194" i="4"/>
  <c r="J202" i="4"/>
  <c r="J200" i="4"/>
  <c r="J196" i="4"/>
  <c r="J231" i="4"/>
  <c r="J224" i="4"/>
  <c r="J209" i="4"/>
  <c r="J214" i="4"/>
  <c r="J186" i="4"/>
  <c r="J193" i="4"/>
  <c r="J213" i="4"/>
  <c r="J218" i="4"/>
  <c r="J216" i="4"/>
  <c r="J232" i="4"/>
  <c r="J220" i="4"/>
  <c r="M129" i="7"/>
  <c r="M113" i="7" s="1"/>
  <c r="M125" i="7"/>
  <c r="M107" i="7" s="1"/>
  <c r="M121" i="7"/>
  <c r="M101" i="7" s="1"/>
  <c r="M15" i="7" s="1"/>
  <c r="M117" i="7"/>
  <c r="M96" i="7" s="1"/>
  <c r="M128" i="7"/>
  <c r="M111" i="7" s="1"/>
  <c r="M26" i="7" s="1"/>
  <c r="M130" i="7"/>
  <c r="M114" i="7" s="1"/>
  <c r="M29" i="7" s="1"/>
  <c r="M127" i="7"/>
  <c r="M110" i="7" s="1"/>
  <c r="M120" i="7"/>
  <c r="M100" i="7" s="1"/>
  <c r="M126" i="7"/>
  <c r="M108" i="7" s="1"/>
  <c r="M23" i="7" s="1"/>
  <c r="M123" i="7"/>
  <c r="M103" i="7" s="1"/>
  <c r="M17" i="7" s="1"/>
  <c r="M122" i="7"/>
  <c r="M102" i="7" s="1"/>
  <c r="M16" i="7" s="1"/>
  <c r="M118" i="7"/>
  <c r="M97" i="7" s="1"/>
  <c r="M11" i="7" s="1"/>
  <c r="M124" i="7"/>
  <c r="M105" i="7" s="1"/>
  <c r="M119" i="7"/>
  <c r="M98" i="7" s="1"/>
  <c r="M12" i="7" s="1"/>
  <c r="M131" i="7"/>
  <c r="M115" i="7" s="1"/>
  <c r="M30" i="7" s="1"/>
  <c r="M123" i="6"/>
  <c r="M103" i="6" s="1"/>
  <c r="M17" i="6" s="1"/>
  <c r="M121" i="6"/>
  <c r="M101" i="6" s="1"/>
  <c r="M15" i="6" s="1"/>
  <c r="M119" i="6"/>
  <c r="M98" i="6" s="1"/>
  <c r="M12" i="6" s="1"/>
  <c r="M117" i="6"/>
  <c r="M96" i="6" s="1"/>
  <c r="M128" i="6"/>
  <c r="M111" i="6" s="1"/>
  <c r="M26" i="6" s="1"/>
  <c r="M126" i="6"/>
  <c r="M108" i="6" s="1"/>
  <c r="M23" i="6" s="1"/>
  <c r="M120" i="6"/>
  <c r="M100" i="6" s="1"/>
  <c r="M118" i="6"/>
  <c r="M97" i="6" s="1"/>
  <c r="M11" i="6" s="1"/>
  <c r="M131" i="6"/>
  <c r="M115" i="6" s="1"/>
  <c r="M30" i="6" s="1"/>
  <c r="M129" i="6"/>
  <c r="M113" i="6" s="1"/>
  <c r="M124" i="6"/>
  <c r="M105" i="6" s="1"/>
  <c r="M122" i="6"/>
  <c r="M102" i="6" s="1"/>
  <c r="M16" i="6" s="1"/>
  <c r="M125" i="6"/>
  <c r="M107" i="6" s="1"/>
  <c r="M130" i="6"/>
  <c r="M114" i="6" s="1"/>
  <c r="M29" i="6" s="1"/>
  <c r="M127" i="6"/>
  <c r="M110" i="6" s="1"/>
  <c r="M225" i="4"/>
  <c r="M221" i="4"/>
  <c r="M196" i="4"/>
  <c r="M224" i="4"/>
  <c r="M226" i="4"/>
  <c r="M212" i="4"/>
  <c r="M191" i="4"/>
  <c r="M210" i="4"/>
  <c r="M195" i="4"/>
  <c r="M194" i="4"/>
  <c r="M193" i="4"/>
  <c r="M227" i="4"/>
  <c r="M231" i="4"/>
  <c r="M214" i="4"/>
  <c r="M206" i="4"/>
  <c r="M186" i="4"/>
  <c r="M230" i="4"/>
  <c r="M207" i="4"/>
  <c r="M202" i="4"/>
  <c r="M215" i="4"/>
  <c r="M189" i="4"/>
  <c r="M220" i="4"/>
  <c r="M223" i="4"/>
  <c r="M188" i="4"/>
  <c r="M205" i="4"/>
  <c r="M216" i="4"/>
  <c r="M217" i="4"/>
  <c r="M203" i="4"/>
  <c r="M218" i="4"/>
  <c r="M201" i="4"/>
  <c r="M213" i="4"/>
  <c r="M233" i="4"/>
  <c r="M197" i="4"/>
  <c r="M219" i="4"/>
  <c r="M209" i="4"/>
  <c r="M232" i="4"/>
  <c r="M222" i="4"/>
  <c r="M200" i="4"/>
  <c r="M229" i="4"/>
  <c r="Q131" i="7"/>
  <c r="Q115" i="7" s="1"/>
  <c r="Q30" i="7" s="1"/>
  <c r="Q127" i="7"/>
  <c r="Q110" i="7" s="1"/>
  <c r="Q123" i="7"/>
  <c r="Q103" i="7" s="1"/>
  <c r="Q17" i="7" s="1"/>
  <c r="Q119" i="7"/>
  <c r="Q98" i="7" s="1"/>
  <c r="Q12" i="7" s="1"/>
  <c r="Q130" i="7"/>
  <c r="Q114" i="7" s="1"/>
  <c r="Q29" i="7" s="1"/>
  <c r="Q129" i="7"/>
  <c r="Q113" i="7" s="1"/>
  <c r="Q122" i="7"/>
  <c r="Q102" i="7" s="1"/>
  <c r="Q16" i="7" s="1"/>
  <c r="Q128" i="7"/>
  <c r="Q111" i="7" s="1"/>
  <c r="Q26" i="7" s="1"/>
  <c r="Q125" i="7"/>
  <c r="Q107" i="7" s="1"/>
  <c r="Q118" i="7"/>
  <c r="Q97" i="7" s="1"/>
  <c r="Q11" i="7" s="1"/>
  <c r="Q126" i="7"/>
  <c r="Q108" i="7" s="1"/>
  <c r="Q23" i="7" s="1"/>
  <c r="Q121" i="7"/>
  <c r="Q101" i="7" s="1"/>
  <c r="Q15" i="7" s="1"/>
  <c r="Q117" i="7"/>
  <c r="Q96" i="7" s="1"/>
  <c r="Q124" i="7"/>
  <c r="Q105" i="7" s="1"/>
  <c r="Q120" i="7"/>
  <c r="Q100" i="7" s="1"/>
  <c r="Q126" i="6"/>
  <c r="Q108" i="6" s="1"/>
  <c r="Q23" i="6" s="1"/>
  <c r="Q124" i="6"/>
  <c r="Q105" i="6" s="1"/>
  <c r="Q122" i="6"/>
  <c r="Q102" i="6" s="1"/>
  <c r="Q16" i="6" s="1"/>
  <c r="Q120" i="6"/>
  <c r="Q100" i="6" s="1"/>
  <c r="Q129" i="6"/>
  <c r="Q113" i="6" s="1"/>
  <c r="Q127" i="6"/>
  <c r="Q110" i="6" s="1"/>
  <c r="Q121" i="6"/>
  <c r="Q101" i="6" s="1"/>
  <c r="Q15" i="6" s="1"/>
  <c r="Q119" i="6"/>
  <c r="Q98" i="6" s="1"/>
  <c r="Q12" i="6" s="1"/>
  <c r="Q117" i="6"/>
  <c r="Q96" i="6" s="1"/>
  <c r="Q118" i="6"/>
  <c r="Q97" i="6" s="1"/>
  <c r="Q11" i="6" s="1"/>
  <c r="Q123" i="6"/>
  <c r="Q103" i="6" s="1"/>
  <c r="Q17" i="6" s="1"/>
  <c r="Q131" i="6"/>
  <c r="Q115" i="6" s="1"/>
  <c r="Q30" i="6" s="1"/>
  <c r="Q128" i="6"/>
  <c r="Q111" i="6" s="1"/>
  <c r="Q26" i="6" s="1"/>
  <c r="Q125" i="6"/>
  <c r="Q107" i="6" s="1"/>
  <c r="Q130" i="6"/>
  <c r="Q114" i="6" s="1"/>
  <c r="Q29" i="6" s="1"/>
  <c r="Q227" i="4"/>
  <c r="Q221" i="4"/>
  <c r="Q214" i="4"/>
  <c r="Q195" i="4"/>
  <c r="Q188" i="4"/>
  <c r="Q207" i="4"/>
  <c r="Q203" i="4"/>
  <c r="Q224" i="4"/>
  <c r="Q215" i="4"/>
  <c r="Q220" i="4"/>
  <c r="Q194" i="4"/>
  <c r="Q226" i="4"/>
  <c r="Q219" i="4"/>
  <c r="Q189" i="4"/>
  <c r="Q232" i="4"/>
  <c r="Q225" i="4"/>
  <c r="Q210" i="4"/>
  <c r="Q206" i="4"/>
  <c r="Q218" i="4"/>
  <c r="Q191" i="4"/>
  <c r="Q217" i="4"/>
  <c r="Q201" i="4"/>
  <c r="Q229" i="4"/>
  <c r="Q213" i="4"/>
  <c r="Q231" i="4"/>
  <c r="Q230" i="4"/>
  <c r="Q197" i="4"/>
  <c r="Q233" i="4"/>
  <c r="Q223" i="4"/>
  <c r="Q212" i="4"/>
  <c r="Q222" i="4"/>
  <c r="Q209" i="4"/>
  <c r="Q205" i="4"/>
  <c r="Q202" i="4"/>
  <c r="Q196" i="4"/>
  <c r="Q216" i="4"/>
  <c r="Q193" i="4"/>
  <c r="Q186" i="4"/>
  <c r="Q200" i="4"/>
  <c r="P129" i="7"/>
  <c r="P113" i="7" s="1"/>
  <c r="P125" i="7"/>
  <c r="P107" i="7" s="1"/>
  <c r="P121" i="7"/>
  <c r="P101" i="7" s="1"/>
  <c r="P15" i="7" s="1"/>
  <c r="P117" i="7"/>
  <c r="P96" i="7" s="1"/>
  <c r="P127" i="7"/>
  <c r="P110" i="7" s="1"/>
  <c r="P124" i="7"/>
  <c r="P105" i="7" s="1"/>
  <c r="P126" i="7"/>
  <c r="P108" i="7" s="1"/>
  <c r="P23" i="7" s="1"/>
  <c r="P119" i="7"/>
  <c r="P98" i="7" s="1"/>
  <c r="P12" i="7" s="1"/>
  <c r="P122" i="7"/>
  <c r="P102" i="7" s="1"/>
  <c r="P16" i="7" s="1"/>
  <c r="P131" i="7"/>
  <c r="P115" i="7" s="1"/>
  <c r="P30" i="7" s="1"/>
  <c r="P128" i="7"/>
  <c r="P111" i="7" s="1"/>
  <c r="P26" i="7" s="1"/>
  <c r="P130" i="7"/>
  <c r="P114" i="7" s="1"/>
  <c r="P29" i="7" s="1"/>
  <c r="P120" i="7"/>
  <c r="P100" i="7" s="1"/>
  <c r="P123" i="7"/>
  <c r="P103" i="7" s="1"/>
  <c r="P17" i="7" s="1"/>
  <c r="P118" i="7"/>
  <c r="P97" i="7" s="1"/>
  <c r="P11" i="7" s="1"/>
  <c r="P130" i="6"/>
  <c r="P114" i="6" s="1"/>
  <c r="P29" i="6" s="1"/>
  <c r="P126" i="6"/>
  <c r="P108" i="6" s="1"/>
  <c r="P23" i="6" s="1"/>
  <c r="P122" i="6"/>
  <c r="P102" i="6" s="1"/>
  <c r="P16" i="6" s="1"/>
  <c r="P118" i="6"/>
  <c r="P97" i="6" s="1"/>
  <c r="P11" i="6" s="1"/>
  <c r="P128" i="6"/>
  <c r="P111" i="6" s="1"/>
  <c r="P26" i="6" s="1"/>
  <c r="P124" i="6"/>
  <c r="P105" i="6" s="1"/>
  <c r="P131" i="6"/>
  <c r="P115" i="6" s="1"/>
  <c r="P30" i="6" s="1"/>
  <c r="P125" i="6"/>
  <c r="P107" i="6" s="1"/>
  <c r="P123" i="6"/>
  <c r="P103" i="6" s="1"/>
  <c r="P17" i="6" s="1"/>
  <c r="P121" i="6"/>
  <c r="P101" i="6" s="1"/>
  <c r="P15" i="6" s="1"/>
  <c r="P119" i="6"/>
  <c r="P98" i="6" s="1"/>
  <c r="P12" i="6" s="1"/>
  <c r="P117" i="6"/>
  <c r="P96" i="6" s="1"/>
  <c r="P129" i="6"/>
  <c r="P113" i="6" s="1"/>
  <c r="P127" i="6"/>
  <c r="P110" i="6" s="1"/>
  <c r="P120" i="6"/>
  <c r="P100" i="6" s="1"/>
  <c r="P230" i="4"/>
  <c r="P224" i="4"/>
  <c r="P220" i="4"/>
  <c r="P227" i="4"/>
  <c r="P207" i="4"/>
  <c r="P219" i="4"/>
  <c r="P225" i="4"/>
  <c r="P194" i="4"/>
  <c r="P210" i="4"/>
  <c r="P218" i="4"/>
  <c r="P221" i="4"/>
  <c r="P195" i="4"/>
  <c r="P191" i="4"/>
  <c r="P231" i="4"/>
  <c r="P226" i="4"/>
  <c r="P197" i="4"/>
  <c r="P203" i="4"/>
  <c r="P193" i="4"/>
  <c r="P188" i="4"/>
  <c r="P229" i="4"/>
  <c r="P217" i="4"/>
  <c r="P223" i="4"/>
  <c r="P202" i="4"/>
  <c r="P222" i="4"/>
  <c r="P213" i="4"/>
  <c r="P205" i="4"/>
  <c r="P212" i="4"/>
  <c r="P200" i="4"/>
  <c r="P215" i="4"/>
  <c r="P196" i="4"/>
  <c r="P233" i="4"/>
  <c r="P186" i="4"/>
  <c r="P232" i="4"/>
  <c r="P216" i="4"/>
  <c r="P201" i="4"/>
  <c r="P214" i="4"/>
  <c r="P206" i="4"/>
  <c r="P209" i="4"/>
  <c r="P189" i="4"/>
  <c r="O130" i="7"/>
  <c r="O126" i="7"/>
  <c r="O122" i="7"/>
  <c r="O118" i="7"/>
  <c r="O121" i="7"/>
  <c r="O123" i="7"/>
  <c r="O120" i="7"/>
  <c r="O129" i="7"/>
  <c r="O119" i="7"/>
  <c r="O125" i="7"/>
  <c r="O128" i="7"/>
  <c r="O124" i="7"/>
  <c r="O131" i="7"/>
  <c r="O127" i="7"/>
  <c r="O117" i="7"/>
  <c r="O130" i="6"/>
  <c r="O117" i="6"/>
  <c r="O128" i="6"/>
  <c r="O126" i="6"/>
  <c r="O120" i="6"/>
  <c r="O118" i="6"/>
  <c r="O129" i="6"/>
  <c r="O127" i="6"/>
  <c r="O125" i="6"/>
  <c r="O123" i="6"/>
  <c r="O131" i="6"/>
  <c r="O124" i="6"/>
  <c r="O122" i="6"/>
  <c r="O225" i="4"/>
  <c r="O121" i="6"/>
  <c r="O119" i="6"/>
  <c r="O203" i="4"/>
  <c r="O197" i="4"/>
  <c r="O214" i="4"/>
  <c r="O194" i="4"/>
  <c r="O230" i="4"/>
  <c r="O220" i="4"/>
  <c r="O196" i="4"/>
  <c r="N235" i="4"/>
  <c r="O219" i="4"/>
  <c r="O210" i="4"/>
  <c r="O193" i="4"/>
  <c r="O188" i="4"/>
  <c r="O224" i="4"/>
  <c r="O212" i="4"/>
  <c r="O191" i="4"/>
  <c r="O215" i="4"/>
  <c r="O205" i="4"/>
  <c r="O213" i="4"/>
  <c r="O189" i="4"/>
  <c r="O226" i="4"/>
  <c r="O222" i="4"/>
  <c r="O216" i="4"/>
  <c r="O217" i="4"/>
  <c r="O231" i="4"/>
  <c r="O186" i="4"/>
  <c r="O201" i="4"/>
  <c r="O232" i="4"/>
  <c r="O221" i="4"/>
  <c r="O223" i="4"/>
  <c r="O209" i="4"/>
  <c r="O229" i="4"/>
  <c r="O206" i="4"/>
  <c r="O218" i="4"/>
  <c r="O200" i="4"/>
  <c r="O227" i="4"/>
  <c r="O207" i="4"/>
  <c r="O202" i="4"/>
  <c r="O233" i="4"/>
  <c r="O195" i="4"/>
  <c r="L131" i="7"/>
  <c r="L115" i="7" s="1"/>
  <c r="L30" i="7" s="1"/>
  <c r="L127" i="7"/>
  <c r="L110" i="7" s="1"/>
  <c r="L123" i="7"/>
  <c r="L103" i="7" s="1"/>
  <c r="L17" i="7" s="1"/>
  <c r="L119" i="7"/>
  <c r="L98" i="7" s="1"/>
  <c r="L12" i="7" s="1"/>
  <c r="L125" i="7"/>
  <c r="L107" i="7" s="1"/>
  <c r="L122" i="7"/>
  <c r="L102" i="7" s="1"/>
  <c r="L16" i="7" s="1"/>
  <c r="L124" i="7"/>
  <c r="L105" i="7" s="1"/>
  <c r="L130" i="7"/>
  <c r="L114" i="7" s="1"/>
  <c r="L29" i="7" s="1"/>
  <c r="L117" i="7"/>
  <c r="L96" i="7" s="1"/>
  <c r="L120" i="7"/>
  <c r="L100" i="7" s="1"/>
  <c r="L129" i="7"/>
  <c r="L113" i="7" s="1"/>
  <c r="L126" i="7"/>
  <c r="L108" i="7" s="1"/>
  <c r="L23" i="7" s="1"/>
  <c r="L128" i="7"/>
  <c r="L111" i="7" s="1"/>
  <c r="L26" i="7" s="1"/>
  <c r="L118" i="7"/>
  <c r="L97" i="7" s="1"/>
  <c r="L11" i="7" s="1"/>
  <c r="L121" i="7"/>
  <c r="L101" i="7" s="1"/>
  <c r="L15" i="7" s="1"/>
  <c r="L128" i="6"/>
  <c r="L111" i="6" s="1"/>
  <c r="L26" i="6" s="1"/>
  <c r="L124" i="6"/>
  <c r="L105" i="6" s="1"/>
  <c r="L120" i="6"/>
  <c r="L100" i="6" s="1"/>
  <c r="L127" i="6"/>
  <c r="L110" i="6" s="1"/>
  <c r="L125" i="6"/>
  <c r="L107" i="6" s="1"/>
  <c r="L123" i="6"/>
  <c r="L103" i="6" s="1"/>
  <c r="L17" i="6" s="1"/>
  <c r="L121" i="6"/>
  <c r="L101" i="6" s="1"/>
  <c r="L15" i="6" s="1"/>
  <c r="L130" i="6"/>
  <c r="L114" i="6" s="1"/>
  <c r="L29" i="6" s="1"/>
  <c r="L122" i="6"/>
  <c r="L102" i="6" s="1"/>
  <c r="L16" i="6" s="1"/>
  <c r="L118" i="6"/>
  <c r="L97" i="6" s="1"/>
  <c r="L11" i="6" s="1"/>
  <c r="L126" i="6"/>
  <c r="L108" i="6" s="1"/>
  <c r="L23" i="6" s="1"/>
  <c r="L119" i="6"/>
  <c r="L98" i="6" s="1"/>
  <c r="L12" i="6" s="1"/>
  <c r="L131" i="6"/>
  <c r="L115" i="6" s="1"/>
  <c r="L30" i="6" s="1"/>
  <c r="L117" i="6"/>
  <c r="L96" i="6" s="1"/>
  <c r="L129" i="6"/>
  <c r="L113" i="6" s="1"/>
  <c r="L188" i="4"/>
  <c r="L224" i="4"/>
  <c r="L197" i="4"/>
  <c r="L202" i="4"/>
  <c r="L193" i="4"/>
  <c r="L230" i="4"/>
  <c r="L219" i="4"/>
  <c r="L214" i="4"/>
  <c r="L227" i="4"/>
  <c r="L225" i="4"/>
  <c r="L203" i="4"/>
  <c r="L196" i="4"/>
  <c r="L217" i="4"/>
  <c r="L233" i="4"/>
  <c r="L200" i="4"/>
  <c r="L231" i="4"/>
  <c r="L216" i="4"/>
  <c r="L213" i="4"/>
  <c r="L195" i="4"/>
  <c r="L220" i="4"/>
  <c r="L201" i="4"/>
  <c r="L232" i="4"/>
  <c r="L229" i="4"/>
  <c r="L218" i="4"/>
  <c r="L212" i="4"/>
  <c r="L226" i="4"/>
  <c r="L209" i="4"/>
  <c r="L207" i="4"/>
  <c r="L221" i="4"/>
  <c r="L206" i="4"/>
  <c r="L186" i="4"/>
  <c r="L222" i="4"/>
  <c r="L189" i="4"/>
  <c r="L205" i="4"/>
  <c r="L194" i="4"/>
  <c r="L215" i="4"/>
  <c r="L223" i="4"/>
  <c r="L191" i="4"/>
  <c r="L210" i="4"/>
  <c r="F128" i="7"/>
  <c r="F124" i="7"/>
  <c r="F120" i="7"/>
  <c r="F130" i="7"/>
  <c r="F127" i="7"/>
  <c r="F129" i="7"/>
  <c r="F122" i="7"/>
  <c r="F119" i="7"/>
  <c r="F125" i="7"/>
  <c r="F131" i="7"/>
  <c r="F118" i="7"/>
  <c r="F126" i="7"/>
  <c r="F123" i="7"/>
  <c r="F121" i="7"/>
  <c r="F117" i="7"/>
  <c r="F129" i="6"/>
  <c r="F125" i="6"/>
  <c r="F121" i="6"/>
  <c r="F117" i="6"/>
  <c r="F130" i="6"/>
  <c r="F128" i="6"/>
  <c r="F126" i="6"/>
  <c r="F120" i="6"/>
  <c r="F118" i="6"/>
  <c r="F127" i="6"/>
  <c r="F123" i="6"/>
  <c r="F119" i="6"/>
  <c r="E235" i="4"/>
  <c r="D235" i="4" s="1"/>
  <c r="F124" i="6"/>
  <c r="F131" i="6"/>
  <c r="F122" i="6"/>
  <c r="F230" i="4"/>
  <c r="F227" i="4"/>
  <c r="F224" i="4"/>
  <c r="F214" i="4"/>
  <c r="F194" i="4"/>
  <c r="F188" i="4"/>
  <c r="F225" i="4"/>
  <c r="F196" i="4"/>
  <c r="F210" i="4"/>
  <c r="F212" i="4"/>
  <c r="F202" i="4"/>
  <c r="F220" i="4"/>
  <c r="F232" i="4"/>
  <c r="F226" i="4"/>
  <c r="F186" i="4"/>
  <c r="F222" i="4"/>
  <c r="F201" i="4"/>
  <c r="F215" i="4"/>
  <c r="F221" i="4"/>
  <c r="F206" i="4"/>
  <c r="F216" i="4"/>
  <c r="F229" i="4"/>
  <c r="F213" i="4"/>
  <c r="F218" i="4"/>
  <c r="F197" i="4"/>
  <c r="F233" i="4"/>
  <c r="F203" i="4"/>
  <c r="F209" i="4"/>
  <c r="F189" i="4"/>
  <c r="F205" i="4"/>
  <c r="F207" i="4"/>
  <c r="F219" i="4"/>
  <c r="F191" i="4"/>
  <c r="F193" i="4"/>
  <c r="F195" i="4"/>
  <c r="F200" i="4"/>
  <c r="F19" i="4" s="1"/>
  <c r="F231" i="4"/>
  <c r="F223" i="4"/>
  <c r="F217" i="4"/>
  <c r="K128" i="7"/>
  <c r="K111" i="7" s="1"/>
  <c r="K26" i="7" s="1"/>
  <c r="K124" i="7"/>
  <c r="K105" i="7" s="1"/>
  <c r="K120" i="7"/>
  <c r="K100" i="7" s="1"/>
  <c r="K119" i="7"/>
  <c r="K98" i="7" s="1"/>
  <c r="K12" i="7" s="1"/>
  <c r="K121" i="7"/>
  <c r="K101" i="7" s="1"/>
  <c r="K15" i="7" s="1"/>
  <c r="K118" i="7"/>
  <c r="K97" i="7" s="1"/>
  <c r="K11" i="7" s="1"/>
  <c r="K127" i="7"/>
  <c r="K110" i="7" s="1"/>
  <c r="K130" i="7"/>
  <c r="K114" i="7" s="1"/>
  <c r="K29" i="7" s="1"/>
  <c r="K117" i="7"/>
  <c r="K96" i="7" s="1"/>
  <c r="K123" i="7"/>
  <c r="K103" i="7" s="1"/>
  <c r="K17" i="7" s="1"/>
  <c r="K126" i="7"/>
  <c r="K108" i="7" s="1"/>
  <c r="K23" i="7" s="1"/>
  <c r="K122" i="7"/>
  <c r="K102" i="7" s="1"/>
  <c r="K16" i="7" s="1"/>
  <c r="K129" i="7"/>
  <c r="K113" i="7" s="1"/>
  <c r="K125" i="7"/>
  <c r="K107" i="7" s="1"/>
  <c r="K131" i="7"/>
  <c r="K115" i="7" s="1"/>
  <c r="K30" i="7" s="1"/>
  <c r="K131" i="6"/>
  <c r="K115" i="6" s="1"/>
  <c r="K30" i="6" s="1"/>
  <c r="K129" i="6"/>
  <c r="K113" i="6" s="1"/>
  <c r="K127" i="6"/>
  <c r="K110" i="6" s="1"/>
  <c r="K125" i="6"/>
  <c r="K107" i="6" s="1"/>
  <c r="K119" i="6"/>
  <c r="K98" i="6" s="1"/>
  <c r="K12" i="6" s="1"/>
  <c r="K117" i="6"/>
  <c r="K96" i="6" s="1"/>
  <c r="K126" i="6"/>
  <c r="K108" i="6" s="1"/>
  <c r="K23" i="6" s="1"/>
  <c r="K124" i="6"/>
  <c r="K105" i="6" s="1"/>
  <c r="K122" i="6"/>
  <c r="K102" i="6" s="1"/>
  <c r="K16" i="6" s="1"/>
  <c r="K120" i="6"/>
  <c r="K100" i="6" s="1"/>
  <c r="K130" i="6"/>
  <c r="K114" i="6" s="1"/>
  <c r="K29" i="6" s="1"/>
  <c r="K121" i="6"/>
  <c r="K101" i="6" s="1"/>
  <c r="K15" i="6" s="1"/>
  <c r="K118" i="6"/>
  <c r="K97" i="6" s="1"/>
  <c r="K11" i="6" s="1"/>
  <c r="K123" i="6"/>
  <c r="K103" i="6" s="1"/>
  <c r="K17" i="6" s="1"/>
  <c r="K128" i="6"/>
  <c r="K111" i="6" s="1"/>
  <c r="K26" i="6" s="1"/>
  <c r="K225" i="4"/>
  <c r="K219" i="4"/>
  <c r="K203" i="4"/>
  <c r="K220" i="4"/>
  <c r="K233" i="4"/>
  <c r="K227" i="4"/>
  <c r="K210" i="4"/>
  <c r="K195" i="4"/>
  <c r="K194" i="4"/>
  <c r="K221" i="4"/>
  <c r="K217" i="4"/>
  <c r="K218" i="4"/>
  <c r="K188" i="4"/>
  <c r="K186" i="4"/>
  <c r="K215" i="4"/>
  <c r="K202" i="4"/>
  <c r="K231" i="4"/>
  <c r="K214" i="4"/>
  <c r="K223" i="4"/>
  <c r="K200" i="4"/>
  <c r="K229" i="4"/>
  <c r="K189" i="4"/>
  <c r="K205" i="4"/>
  <c r="K193" i="4"/>
  <c r="K230" i="4"/>
  <c r="K226" i="4"/>
  <c r="K222" i="4"/>
  <c r="K206" i="4"/>
  <c r="K216" i="4"/>
  <c r="K232" i="4"/>
  <c r="K213" i="4"/>
  <c r="K224" i="4"/>
  <c r="K207" i="4"/>
  <c r="K209" i="4"/>
  <c r="K201" i="4"/>
  <c r="K191" i="4"/>
  <c r="K212" i="4"/>
  <c r="K197" i="4"/>
  <c r="K196" i="4"/>
  <c r="G130" i="7"/>
  <c r="G114" i="7" s="1"/>
  <c r="G29" i="7" s="1"/>
  <c r="G126" i="7"/>
  <c r="G108" i="7" s="1"/>
  <c r="G23" i="7" s="1"/>
  <c r="G122" i="7"/>
  <c r="G102" i="7" s="1"/>
  <c r="G16" i="7" s="1"/>
  <c r="G118" i="7"/>
  <c r="G97" i="7" s="1"/>
  <c r="G11" i="7" s="1"/>
  <c r="G117" i="7"/>
  <c r="G96" i="7" s="1"/>
  <c r="G119" i="7"/>
  <c r="G98" i="7" s="1"/>
  <c r="G12" i="7" s="1"/>
  <c r="G125" i="7"/>
  <c r="G107" i="7" s="1"/>
  <c r="G131" i="7"/>
  <c r="G115" i="7" s="1"/>
  <c r="G30" i="7" s="1"/>
  <c r="G128" i="7"/>
  <c r="G111" i="7" s="1"/>
  <c r="G26" i="7" s="1"/>
  <c r="G121" i="7"/>
  <c r="G101" i="7" s="1"/>
  <c r="G15" i="7" s="1"/>
  <c r="G124" i="7"/>
  <c r="G105" i="7" s="1"/>
  <c r="G120" i="7"/>
  <c r="G100" i="7" s="1"/>
  <c r="G129" i="7"/>
  <c r="G113" i="7" s="1"/>
  <c r="G123" i="7"/>
  <c r="G103" i="7" s="1"/>
  <c r="G17" i="7" s="1"/>
  <c r="G127" i="7"/>
  <c r="G110" i="7" s="1"/>
  <c r="G128" i="6"/>
  <c r="G111" i="6" s="1"/>
  <c r="G26" i="6" s="1"/>
  <c r="G126" i="6"/>
  <c r="G108" i="6" s="1"/>
  <c r="G23" i="6" s="1"/>
  <c r="G124" i="6"/>
  <c r="G105" i="6" s="1"/>
  <c r="G122" i="6"/>
  <c r="G102" i="6" s="1"/>
  <c r="G16" i="6" s="1"/>
  <c r="G131" i="6"/>
  <c r="G115" i="6" s="1"/>
  <c r="G30" i="6" s="1"/>
  <c r="G125" i="6"/>
  <c r="G107" i="6" s="1"/>
  <c r="G123" i="6"/>
  <c r="G103" i="6" s="1"/>
  <c r="G17" i="6" s="1"/>
  <c r="G121" i="6"/>
  <c r="G101" i="6" s="1"/>
  <c r="G15" i="6" s="1"/>
  <c r="G119" i="6"/>
  <c r="G98" i="6" s="1"/>
  <c r="G12" i="6" s="1"/>
  <c r="G225" i="4"/>
  <c r="G130" i="6"/>
  <c r="G114" i="6" s="1"/>
  <c r="G29" i="6" s="1"/>
  <c r="G127" i="6"/>
  <c r="G110" i="6" s="1"/>
  <c r="G129" i="6"/>
  <c r="G113" i="6" s="1"/>
  <c r="G118" i="6"/>
  <c r="G97" i="6" s="1"/>
  <c r="G11" i="6" s="1"/>
  <c r="G120" i="6"/>
  <c r="G100" i="6" s="1"/>
  <c r="G117" i="6"/>
  <c r="G96" i="6" s="1"/>
  <c r="G221" i="4"/>
  <c r="G195" i="4"/>
  <c r="G226" i="4"/>
  <c r="G220" i="4"/>
  <c r="G224" i="4"/>
  <c r="G200" i="4"/>
  <c r="G207" i="4"/>
  <c r="G197" i="4"/>
  <c r="G219" i="4"/>
  <c r="G203" i="4"/>
  <c r="G188" i="4"/>
  <c r="G210" i="4"/>
  <c r="G230" i="4"/>
  <c r="G213" i="4"/>
  <c r="G194" i="4"/>
  <c r="G191" i="4"/>
  <c r="G223" i="4"/>
  <c r="G186" i="4"/>
  <c r="G196" i="4"/>
  <c r="G233" i="4"/>
  <c r="G218" i="4"/>
  <c r="G231" i="4"/>
  <c r="G209" i="4"/>
  <c r="G193" i="4"/>
  <c r="G215" i="4"/>
  <c r="G217" i="4"/>
  <c r="G189" i="4"/>
  <c r="G201" i="4"/>
  <c r="G205" i="4"/>
  <c r="G216" i="4"/>
  <c r="G232" i="4"/>
  <c r="G229" i="4"/>
  <c r="G206" i="4"/>
  <c r="G222" i="4"/>
  <c r="G202" i="4"/>
  <c r="G212" i="4"/>
  <c r="G214" i="4"/>
  <c r="G227" i="4"/>
  <c r="E40" i="10" l="1"/>
  <c r="E11" i="10"/>
  <c r="E10" i="10" s="1"/>
  <c r="G99" i="7"/>
  <c r="G14" i="7"/>
  <c r="G13" i="7" s="1"/>
  <c r="E210" i="4"/>
  <c r="L104" i="7"/>
  <c r="L19" i="7"/>
  <c r="L18" i="7" s="1"/>
  <c r="N233" i="4"/>
  <c r="N209" i="4"/>
  <c r="O208" i="4"/>
  <c r="O211" i="4"/>
  <c r="N212" i="4"/>
  <c r="N220" i="4"/>
  <c r="N121" i="6"/>
  <c r="O101" i="6"/>
  <c r="N130" i="7"/>
  <c r="O114" i="7"/>
  <c r="K99" i="6"/>
  <c r="K14" i="6"/>
  <c r="K13" i="6" s="1"/>
  <c r="E218" i="4"/>
  <c r="E222" i="4"/>
  <c r="E230" i="4"/>
  <c r="E129" i="6"/>
  <c r="F113" i="6"/>
  <c r="E119" i="7"/>
  <c r="F98" i="7"/>
  <c r="L185" i="4"/>
  <c r="L112" i="6"/>
  <c r="L28" i="6"/>
  <c r="L27" i="6" s="1"/>
  <c r="N202" i="4"/>
  <c r="N222" i="4"/>
  <c r="N230" i="4"/>
  <c r="N129" i="6"/>
  <c r="O113" i="6"/>
  <c r="N129" i="7"/>
  <c r="O113" i="7"/>
  <c r="P106" i="6"/>
  <c r="P22" i="6"/>
  <c r="P21" i="6" s="1"/>
  <c r="Q208" i="4"/>
  <c r="G104" i="6"/>
  <c r="G19" i="6"/>
  <c r="G18" i="6" s="1"/>
  <c r="E217" i="4"/>
  <c r="E207" i="4"/>
  <c r="F185" i="4"/>
  <c r="E186" i="4"/>
  <c r="E225" i="4"/>
  <c r="E122" i="6"/>
  <c r="F102" i="6"/>
  <c r="E117" i="7"/>
  <c r="F96" i="7"/>
  <c r="E122" i="7"/>
  <c r="F102" i="7"/>
  <c r="L190" i="4"/>
  <c r="L95" i="6"/>
  <c r="L10" i="6"/>
  <c r="L9" i="6" s="1"/>
  <c r="L106" i="7"/>
  <c r="L22" i="7"/>
  <c r="L21" i="7" s="1"/>
  <c r="N221" i="4"/>
  <c r="N226" i="4"/>
  <c r="N188" i="4"/>
  <c r="O187" i="4"/>
  <c r="N131" i="7"/>
  <c r="O115" i="7"/>
  <c r="N120" i="7"/>
  <c r="O100" i="7"/>
  <c r="P17" i="4"/>
  <c r="P20" i="4"/>
  <c r="K192" i="4"/>
  <c r="K15" i="4"/>
  <c r="K20" i="4"/>
  <c r="K17" i="4"/>
  <c r="K104" i="6"/>
  <c r="K19" i="6"/>
  <c r="K18" i="6" s="1"/>
  <c r="K109" i="7"/>
  <c r="K25" i="7"/>
  <c r="K24" i="7" s="1"/>
  <c r="E223" i="4"/>
  <c r="E205" i="4"/>
  <c r="F204" i="4"/>
  <c r="F228" i="4"/>
  <c r="E229" i="4"/>
  <c r="E226" i="4"/>
  <c r="F187" i="4"/>
  <c r="E188" i="4"/>
  <c r="E131" i="6"/>
  <c r="F115" i="6"/>
  <c r="E126" i="6"/>
  <c r="F108" i="6"/>
  <c r="E121" i="7"/>
  <c r="F101" i="7"/>
  <c r="E129" i="7"/>
  <c r="F113" i="7"/>
  <c r="L106" i="6"/>
  <c r="L22" i="6"/>
  <c r="L21" i="6" s="1"/>
  <c r="N227" i="4"/>
  <c r="N232" i="4"/>
  <c r="N189" i="4"/>
  <c r="N193" i="4"/>
  <c r="O192" i="4"/>
  <c r="O15" i="4"/>
  <c r="N194" i="4"/>
  <c r="O17" i="4"/>
  <c r="O20" i="4"/>
  <c r="N122" i="6"/>
  <c r="O102" i="6"/>
  <c r="N120" i="6"/>
  <c r="O100" i="6"/>
  <c r="N123" i="7"/>
  <c r="O103" i="7"/>
  <c r="P16" i="4"/>
  <c r="P109" i="6"/>
  <c r="P25" i="6"/>
  <c r="P24" i="6" s="1"/>
  <c r="P104" i="6"/>
  <c r="P19" i="6"/>
  <c r="P18" i="6" s="1"/>
  <c r="P99" i="7"/>
  <c r="P14" i="7"/>
  <c r="P13" i="7" s="1"/>
  <c r="P109" i="7"/>
  <c r="P25" i="7"/>
  <c r="P24" i="7" s="1"/>
  <c r="Q185" i="4"/>
  <c r="Q211" i="4"/>
  <c r="Q106" i="6"/>
  <c r="Q22" i="6"/>
  <c r="Q21" i="6" s="1"/>
  <c r="Q109" i="6"/>
  <c r="Q25" i="6"/>
  <c r="Q24" i="6" s="1"/>
  <c r="Q95" i="7"/>
  <c r="Q10" i="7"/>
  <c r="Q9" i="7" s="1"/>
  <c r="M95" i="6"/>
  <c r="M10" i="6"/>
  <c r="M9" i="6" s="1"/>
  <c r="J192" i="4"/>
  <c r="I193" i="4"/>
  <c r="J15" i="4"/>
  <c r="I202" i="4"/>
  <c r="I223" i="4"/>
  <c r="I217" i="4"/>
  <c r="I219" i="4"/>
  <c r="I124" i="6"/>
  <c r="J105" i="6"/>
  <c r="I123" i="6"/>
  <c r="J103" i="6"/>
  <c r="I120" i="7"/>
  <c r="J100" i="7"/>
  <c r="I126" i="7"/>
  <c r="J108" i="7"/>
  <c r="H17" i="4"/>
  <c r="H20" i="4"/>
  <c r="E197" i="4"/>
  <c r="E127" i="6"/>
  <c r="F110" i="6"/>
  <c r="N216" i="4"/>
  <c r="G192" i="4"/>
  <c r="G15" i="4"/>
  <c r="K204" i="4"/>
  <c r="K106" i="7"/>
  <c r="K22" i="7"/>
  <c r="K21" i="7" s="1"/>
  <c r="E231" i="4"/>
  <c r="E189" i="4"/>
  <c r="E216" i="4"/>
  <c r="E232" i="4"/>
  <c r="E194" i="4"/>
  <c r="F17" i="4"/>
  <c r="F20" i="4"/>
  <c r="E124" i="6"/>
  <c r="F105" i="6"/>
  <c r="F111" i="6"/>
  <c r="E128" i="6"/>
  <c r="E123" i="7"/>
  <c r="F103" i="7"/>
  <c r="E127" i="7"/>
  <c r="F110" i="7"/>
  <c r="L192" i="4"/>
  <c r="L15" i="4"/>
  <c r="L109" i="6"/>
  <c r="L25" i="6"/>
  <c r="L24" i="6" s="1"/>
  <c r="L112" i="7"/>
  <c r="L28" i="7"/>
  <c r="L27" i="7" s="1"/>
  <c r="O199" i="4"/>
  <c r="N200" i="4"/>
  <c r="O19" i="4"/>
  <c r="N201" i="4"/>
  <c r="N213" i="4"/>
  <c r="N210" i="4"/>
  <c r="N214" i="4"/>
  <c r="N124" i="6"/>
  <c r="O105" i="6"/>
  <c r="N126" i="6"/>
  <c r="O108" i="6"/>
  <c r="N124" i="7"/>
  <c r="O105" i="7"/>
  <c r="N121" i="7"/>
  <c r="O101" i="7"/>
  <c r="P190" i="4"/>
  <c r="P112" i="6"/>
  <c r="P28" i="6"/>
  <c r="P27" i="6" s="1"/>
  <c r="P95" i="7"/>
  <c r="P10" i="7"/>
  <c r="P9" i="7" s="1"/>
  <c r="Q192" i="4"/>
  <c r="Q15" i="4"/>
  <c r="Q187" i="4"/>
  <c r="Q112" i="6"/>
  <c r="Q28" i="6"/>
  <c r="Q27" i="6" s="1"/>
  <c r="M208" i="4"/>
  <c r="M192" i="4"/>
  <c r="M15" i="4"/>
  <c r="M16" i="4"/>
  <c r="M104" i="6"/>
  <c r="M19" i="6"/>
  <c r="M18" i="6" s="1"/>
  <c r="M106" i="7"/>
  <c r="M22" i="7"/>
  <c r="M21" i="7" s="1"/>
  <c r="J185" i="4"/>
  <c r="I186" i="4"/>
  <c r="I194" i="4"/>
  <c r="J20" i="4"/>
  <c r="J17" i="4"/>
  <c r="J190" i="4"/>
  <c r="I191" i="4"/>
  <c r="I203" i="4"/>
  <c r="I207" i="4"/>
  <c r="I126" i="6"/>
  <c r="J108" i="6"/>
  <c r="I127" i="6"/>
  <c r="J110" i="6"/>
  <c r="I127" i="7"/>
  <c r="J110" i="7"/>
  <c r="I130" i="7"/>
  <c r="J114" i="7"/>
  <c r="H192" i="4"/>
  <c r="H15" i="4"/>
  <c r="H190" i="4"/>
  <c r="H109" i="6"/>
  <c r="H25" i="6"/>
  <c r="H24" i="6" s="1"/>
  <c r="E191" i="4"/>
  <c r="F190" i="4"/>
  <c r="E227" i="4"/>
  <c r="E128" i="7"/>
  <c r="F111" i="7"/>
  <c r="L187" i="4"/>
  <c r="N117" i="7"/>
  <c r="O96" i="7"/>
  <c r="G109" i="7"/>
  <c r="G25" i="7"/>
  <c r="G24" i="7" s="1"/>
  <c r="K185" i="4"/>
  <c r="K95" i="6"/>
  <c r="K10" i="6"/>
  <c r="K9" i="6" s="1"/>
  <c r="F208" i="4"/>
  <c r="E209" i="4"/>
  <c r="E130" i="7"/>
  <c r="F114" i="7"/>
  <c r="L208" i="4"/>
  <c r="L16" i="4"/>
  <c r="L99" i="6"/>
  <c r="L14" i="6"/>
  <c r="L13" i="6" s="1"/>
  <c r="L109" i="7"/>
  <c r="L25" i="7"/>
  <c r="L24" i="7" s="1"/>
  <c r="N218" i="4"/>
  <c r="N186" i="4"/>
  <c r="O185" i="4"/>
  <c r="N205" i="4"/>
  <c r="O204" i="4"/>
  <c r="N219" i="4"/>
  <c r="N197" i="4"/>
  <c r="N131" i="6"/>
  <c r="O115" i="6"/>
  <c r="O111" i="6"/>
  <c r="N128" i="6"/>
  <c r="N128" i="7"/>
  <c r="O111" i="7"/>
  <c r="N118" i="7"/>
  <c r="O97" i="7"/>
  <c r="P199" i="4"/>
  <c r="P19" i="4"/>
  <c r="P228" i="4"/>
  <c r="P95" i="6"/>
  <c r="P10" i="6"/>
  <c r="P9" i="6" s="1"/>
  <c r="Q190" i="4"/>
  <c r="Q99" i="6"/>
  <c r="Q14" i="6"/>
  <c r="Q13" i="6" s="1"/>
  <c r="M17" i="4"/>
  <c r="M20" i="4"/>
  <c r="M112" i="6"/>
  <c r="M28" i="6"/>
  <c r="M27" i="6" s="1"/>
  <c r="M112" i="7"/>
  <c r="M28" i="7"/>
  <c r="M27" i="7" s="1"/>
  <c r="I214" i="4"/>
  <c r="I215" i="4"/>
  <c r="I206" i="4"/>
  <c r="I225" i="4"/>
  <c r="I128" i="6"/>
  <c r="J111" i="6"/>
  <c r="I131" i="6"/>
  <c r="J115" i="6"/>
  <c r="I121" i="7"/>
  <c r="J101" i="7"/>
  <c r="H16" i="4"/>
  <c r="H204" i="4"/>
  <c r="H106" i="6"/>
  <c r="H22" i="6"/>
  <c r="H21" i="6" s="1"/>
  <c r="H112" i="6"/>
  <c r="H28" i="6"/>
  <c r="H27" i="6" s="1"/>
  <c r="H99" i="7"/>
  <c r="H14" i="7"/>
  <c r="H13" i="7" s="1"/>
  <c r="K109" i="6"/>
  <c r="K25" i="6"/>
  <c r="K24" i="6" s="1"/>
  <c r="E201" i="4"/>
  <c r="E125" i="6"/>
  <c r="F107" i="6"/>
  <c r="N119" i="7"/>
  <c r="O98" i="7"/>
  <c r="G228" i="4"/>
  <c r="G190" i="4"/>
  <c r="G95" i="6"/>
  <c r="G10" i="6"/>
  <c r="G9" i="6" s="1"/>
  <c r="K16" i="4"/>
  <c r="G208" i="4"/>
  <c r="E220" i="4"/>
  <c r="E130" i="6"/>
  <c r="F114" i="6"/>
  <c r="K211" i="4"/>
  <c r="K228" i="4"/>
  <c r="E195" i="4"/>
  <c r="E202" i="4"/>
  <c r="E119" i="6"/>
  <c r="F98" i="6"/>
  <c r="E120" i="7"/>
  <c r="F100" i="7"/>
  <c r="N231" i="4"/>
  <c r="N203" i="4"/>
  <c r="N123" i="6"/>
  <c r="O103" i="6"/>
  <c r="N117" i="6"/>
  <c r="O96" i="6"/>
  <c r="N122" i="7"/>
  <c r="O102" i="7"/>
  <c r="P187" i="4"/>
  <c r="P106" i="7"/>
  <c r="P22" i="7"/>
  <c r="P21" i="7" s="1"/>
  <c r="Q109" i="7"/>
  <c r="Q25" i="7"/>
  <c r="Q24" i="7" s="1"/>
  <c r="J208" i="4"/>
  <c r="I209" i="4"/>
  <c r="I230" i="4"/>
  <c r="H99" i="6"/>
  <c r="H14" i="6"/>
  <c r="H13" i="6" s="1"/>
  <c r="G211" i="4"/>
  <c r="G109" i="6"/>
  <c r="G25" i="6"/>
  <c r="G24" i="6" s="1"/>
  <c r="K104" i="7"/>
  <c r="K19" i="7"/>
  <c r="K18" i="7" s="1"/>
  <c r="E125" i="7"/>
  <c r="F107" i="7"/>
  <c r="N127" i="6"/>
  <c r="O110" i="6"/>
  <c r="G17" i="4"/>
  <c r="G20" i="4"/>
  <c r="G99" i="6"/>
  <c r="G14" i="6"/>
  <c r="G13" i="6" s="1"/>
  <c r="G106" i="7"/>
  <c r="G22" i="7"/>
  <c r="G21" i="7" s="1"/>
  <c r="K112" i="7"/>
  <c r="K28" i="7"/>
  <c r="K27" i="7" s="1"/>
  <c r="F199" i="4"/>
  <c r="E200" i="4"/>
  <c r="E206" i="4"/>
  <c r="E126" i="7"/>
  <c r="F108" i="7"/>
  <c r="L17" i="4"/>
  <c r="L20" i="4"/>
  <c r="L99" i="7"/>
  <c r="L14" i="7"/>
  <c r="L13" i="7" s="1"/>
  <c r="G199" i="4"/>
  <c r="G19" i="4"/>
  <c r="K187" i="4"/>
  <c r="E203" i="4"/>
  <c r="E221" i="4"/>
  <c r="E214" i="4"/>
  <c r="E117" i="6"/>
  <c r="F96" i="6"/>
  <c r="E118" i="7"/>
  <c r="F97" i="7"/>
  <c r="L204" i="4"/>
  <c r="L104" i="6"/>
  <c r="L19" i="6"/>
  <c r="L18" i="6" s="1"/>
  <c r="L95" i="7"/>
  <c r="L10" i="7"/>
  <c r="L9" i="7" s="1"/>
  <c r="N206" i="4"/>
  <c r="N215" i="4"/>
  <c r="F11" i="10"/>
  <c r="F10" i="10" s="1"/>
  <c r="P211" i="4"/>
  <c r="Q16" i="4"/>
  <c r="Q17" i="4"/>
  <c r="Q20" i="4"/>
  <c r="M204" i="4"/>
  <c r="M99" i="7"/>
  <c r="M14" i="7"/>
  <c r="M13" i="7" s="1"/>
  <c r="I220" i="4"/>
  <c r="I212" i="4"/>
  <c r="J211" i="4"/>
  <c r="J187" i="4"/>
  <c r="I188" i="4"/>
  <c r="I130" i="6"/>
  <c r="J114" i="6"/>
  <c r="I125" i="7"/>
  <c r="J107" i="7"/>
  <c r="I124" i="7"/>
  <c r="J105" i="7"/>
  <c r="H185" i="4"/>
  <c r="H208" i="4"/>
  <c r="H228" i="4"/>
  <c r="G204" i="4"/>
  <c r="G112" i="6"/>
  <c r="G28" i="6"/>
  <c r="G27" i="6" s="1"/>
  <c r="G106" i="6"/>
  <c r="G22" i="6"/>
  <c r="G21" i="6" s="1"/>
  <c r="G112" i="7"/>
  <c r="G28" i="7"/>
  <c r="G27" i="7" s="1"/>
  <c r="G95" i="7"/>
  <c r="G10" i="7"/>
  <c r="G9" i="7" s="1"/>
  <c r="K190" i="4"/>
  <c r="K199" i="4"/>
  <c r="K19" i="4"/>
  <c r="K106" i="6"/>
  <c r="K22" i="6"/>
  <c r="K21" i="6" s="1"/>
  <c r="K99" i="7"/>
  <c r="K14" i="7"/>
  <c r="K13" i="7" s="1"/>
  <c r="F192" i="4"/>
  <c r="E193" i="4"/>
  <c r="F15" i="4"/>
  <c r="E233" i="4"/>
  <c r="E215" i="4"/>
  <c r="F211" i="4"/>
  <c r="E212" i="4"/>
  <c r="E224" i="4"/>
  <c r="E123" i="6"/>
  <c r="F103" i="6"/>
  <c r="E121" i="6"/>
  <c r="F101" i="6"/>
  <c r="E131" i="7"/>
  <c r="F115" i="7"/>
  <c r="E124" i="7"/>
  <c r="F105" i="7"/>
  <c r="L211" i="4"/>
  <c r="N195" i="4"/>
  <c r="N229" i="4"/>
  <c r="O228" i="4"/>
  <c r="N217" i="4"/>
  <c r="N191" i="4"/>
  <c r="O190" i="4"/>
  <c r="N196" i="4"/>
  <c r="O16" i="4"/>
  <c r="N119" i="6"/>
  <c r="O98" i="6"/>
  <c r="N125" i="6"/>
  <c r="O107" i="6"/>
  <c r="N130" i="6"/>
  <c r="O114" i="6"/>
  <c r="N125" i="7"/>
  <c r="O107" i="7"/>
  <c r="N126" i="7"/>
  <c r="O108" i="7"/>
  <c r="P204" i="4"/>
  <c r="P192" i="4"/>
  <c r="P15" i="4"/>
  <c r="P112" i="7"/>
  <c r="P28" i="7"/>
  <c r="P27" i="7" s="1"/>
  <c r="Q104" i="6"/>
  <c r="Q19" i="6"/>
  <c r="Q18" i="6" s="1"/>
  <c r="Q106" i="7"/>
  <c r="Q22" i="7"/>
  <c r="Q21" i="7" s="1"/>
  <c r="M187" i="4"/>
  <c r="M185" i="4"/>
  <c r="M109" i="6"/>
  <c r="M25" i="6"/>
  <c r="M24" i="6" s="1"/>
  <c r="M109" i="7"/>
  <c r="M25" i="7"/>
  <c r="M24" i="7" s="1"/>
  <c r="I232" i="4"/>
  <c r="I224" i="4"/>
  <c r="J204" i="4"/>
  <c r="I205" i="4"/>
  <c r="I210" i="4"/>
  <c r="I229" i="4"/>
  <c r="J228" i="4"/>
  <c r="I122" i="6"/>
  <c r="J102" i="6"/>
  <c r="I121" i="6"/>
  <c r="J101" i="6"/>
  <c r="I119" i="7"/>
  <c r="J98" i="7"/>
  <c r="I131" i="7"/>
  <c r="J115" i="7"/>
  <c r="H187" i="4"/>
  <c r="H104" i="6"/>
  <c r="H19" i="6"/>
  <c r="H18" i="6" s="1"/>
  <c r="H104" i="7"/>
  <c r="H19" i="7"/>
  <c r="H18" i="7" s="1"/>
  <c r="H95" i="7"/>
  <c r="H10" i="7"/>
  <c r="H9" i="7" s="1"/>
  <c r="Q204" i="4"/>
  <c r="Q95" i="6"/>
  <c r="Q10" i="6"/>
  <c r="Q9" i="6" s="1"/>
  <c r="M228" i="4"/>
  <c r="M190" i="4"/>
  <c r="M99" i="6"/>
  <c r="M14" i="6"/>
  <c r="M13" i="6" s="1"/>
  <c r="I216" i="4"/>
  <c r="I231" i="4"/>
  <c r="I222" i="4"/>
  <c r="I227" i="4"/>
  <c r="I195" i="4"/>
  <c r="I125" i="6"/>
  <c r="J107" i="6"/>
  <c r="I129" i="6"/>
  <c r="J113" i="6"/>
  <c r="I123" i="7"/>
  <c r="J103" i="7"/>
  <c r="I129" i="7"/>
  <c r="J113" i="7"/>
  <c r="H211" i="4"/>
  <c r="H109" i="7"/>
  <c r="H25" i="7"/>
  <c r="H24" i="7" s="1"/>
  <c r="Q99" i="7"/>
  <c r="Q14" i="7"/>
  <c r="Q13" i="7" s="1"/>
  <c r="M211" i="4"/>
  <c r="M104" i="7"/>
  <c r="M19" i="7"/>
  <c r="M18" i="7" s="1"/>
  <c r="I218" i="4"/>
  <c r="I196" i="4"/>
  <c r="J16" i="4"/>
  <c r="I226" i="4"/>
  <c r="I201" i="4"/>
  <c r="I197" i="4"/>
  <c r="I120" i="6"/>
  <c r="J100" i="6"/>
  <c r="I118" i="6"/>
  <c r="J97" i="6"/>
  <c r="I128" i="7"/>
  <c r="D128" i="7" s="1"/>
  <c r="J111" i="7"/>
  <c r="I118" i="7"/>
  <c r="J97" i="7"/>
  <c r="H199" i="4"/>
  <c r="H19" i="4"/>
  <c r="H95" i="6"/>
  <c r="H10" i="6"/>
  <c r="H9" i="6" s="1"/>
  <c r="H106" i="7"/>
  <c r="H22" i="7"/>
  <c r="H21" i="7" s="1"/>
  <c r="G16" i="4"/>
  <c r="G187" i="4"/>
  <c r="G104" i="7"/>
  <c r="G19" i="7"/>
  <c r="G18" i="7" s="1"/>
  <c r="K208" i="4"/>
  <c r="K112" i="6"/>
  <c r="K28" i="6"/>
  <c r="K27" i="6" s="1"/>
  <c r="K95" i="7"/>
  <c r="K10" i="7"/>
  <c r="K9" i="7" s="1"/>
  <c r="E219" i="4"/>
  <c r="E196" i="4"/>
  <c r="F16" i="4"/>
  <c r="F97" i="6"/>
  <c r="E118" i="6"/>
  <c r="L228" i="4"/>
  <c r="L199" i="4"/>
  <c r="L19" i="4"/>
  <c r="N223" i="4"/>
  <c r="N224" i="4"/>
  <c r="N225" i="4"/>
  <c r="N127" i="7"/>
  <c r="O110" i="7"/>
  <c r="P185" i="4"/>
  <c r="M199" i="4"/>
  <c r="M19" i="4"/>
  <c r="G185" i="4"/>
  <c r="E213" i="4"/>
  <c r="E120" i="6"/>
  <c r="F100" i="6"/>
  <c r="N207" i="4"/>
  <c r="O97" i="6"/>
  <c r="N118" i="6"/>
  <c r="P208" i="4"/>
  <c r="P99" i="6"/>
  <c r="P14" i="6"/>
  <c r="P13" i="6" s="1"/>
  <c r="P104" i="7"/>
  <c r="P19" i="7"/>
  <c r="P18" i="7" s="1"/>
  <c r="Q199" i="4"/>
  <c r="Q19" i="4"/>
  <c r="Q228" i="4"/>
  <c r="Q104" i="7"/>
  <c r="Q19" i="7"/>
  <c r="Q18" i="7" s="1"/>
  <c r="Q112" i="7"/>
  <c r="Q28" i="7"/>
  <c r="Q27" i="7" s="1"/>
  <c r="M106" i="6"/>
  <c r="M22" i="6"/>
  <c r="M21" i="6" s="1"/>
  <c r="M95" i="7"/>
  <c r="M10" i="7"/>
  <c r="M9" i="7" s="1"/>
  <c r="I213" i="4"/>
  <c r="J199" i="4"/>
  <c r="I200" i="4"/>
  <c r="J19" i="4"/>
  <c r="I189" i="4"/>
  <c r="I233" i="4"/>
  <c r="I221" i="4"/>
  <c r="I117" i="6"/>
  <c r="J96" i="6"/>
  <c r="I119" i="6"/>
  <c r="J98" i="6"/>
  <c r="I117" i="7"/>
  <c r="J96" i="7"/>
  <c r="I122" i="7"/>
  <c r="J102" i="7"/>
  <c r="H112" i="7"/>
  <c r="H28" i="7"/>
  <c r="H27" i="7" s="1"/>
  <c r="D117" i="7" l="1"/>
  <c r="D130" i="6"/>
  <c r="D127" i="6"/>
  <c r="D118" i="6"/>
  <c r="D126" i="6"/>
  <c r="M94" i="7"/>
  <c r="M132" i="7" s="1"/>
  <c r="D120" i="6"/>
  <c r="D124" i="7"/>
  <c r="D119" i="6"/>
  <c r="Q94" i="6"/>
  <c r="Q132" i="6" s="1"/>
  <c r="Q236" i="4" s="1"/>
  <c r="Q198" i="4" s="1"/>
  <c r="Q184" i="4" s="1"/>
  <c r="D121" i="7"/>
  <c r="D127" i="7"/>
  <c r="D122" i="7"/>
  <c r="D120" i="7"/>
  <c r="D124" i="6"/>
  <c r="D128" i="6"/>
  <c r="D131" i="6"/>
  <c r="D121" i="6"/>
  <c r="D123" i="7"/>
  <c r="D125" i="7"/>
  <c r="D119" i="7"/>
  <c r="D131" i="7"/>
  <c r="D123" i="6"/>
  <c r="E38" i="10"/>
  <c r="E37" i="10" s="1"/>
  <c r="G94" i="6"/>
  <c r="G132" i="6" s="1"/>
  <c r="G236" i="4" s="1"/>
  <c r="G198" i="4" s="1"/>
  <c r="G184" i="4" s="1"/>
  <c r="P8" i="7"/>
  <c r="D30" i="5" s="1"/>
  <c r="K8" i="7"/>
  <c r="D14" i="5" s="1"/>
  <c r="D125" i="6"/>
  <c r="D118" i="7"/>
  <c r="G8" i="6"/>
  <c r="K94" i="7"/>
  <c r="K132" i="7" s="1"/>
  <c r="D117" i="6"/>
  <c r="D126" i="7"/>
  <c r="D130" i="7"/>
  <c r="K94" i="6"/>
  <c r="K132" i="6" s="1"/>
  <c r="K236" i="4" s="1"/>
  <c r="K198" i="4" s="1"/>
  <c r="K184" i="4" s="1"/>
  <c r="D129" i="7"/>
  <c r="D122" i="6"/>
  <c r="D129" i="6"/>
  <c r="H18" i="4"/>
  <c r="E107" i="6"/>
  <c r="F106" i="6"/>
  <c r="E106" i="6" s="1"/>
  <c r="F22" i="6"/>
  <c r="I96" i="7"/>
  <c r="J95" i="7"/>
  <c r="J10" i="7"/>
  <c r="L18" i="4"/>
  <c r="I111" i="7"/>
  <c r="J26" i="7"/>
  <c r="I26" i="7" s="1"/>
  <c r="H94" i="7"/>
  <c r="H132" i="7" s="1"/>
  <c r="M11" i="4"/>
  <c r="N190" i="4"/>
  <c r="E101" i="6"/>
  <c r="F15" i="6"/>
  <c r="E15" i="6" s="1"/>
  <c r="E211" i="4"/>
  <c r="E192" i="4"/>
  <c r="F14" i="4"/>
  <c r="L8" i="7"/>
  <c r="D15" i="5" s="1"/>
  <c r="E96" i="6"/>
  <c r="F95" i="6"/>
  <c r="F10" i="6"/>
  <c r="E100" i="7"/>
  <c r="F99" i="7"/>
  <c r="E99" i="7" s="1"/>
  <c r="F14" i="7"/>
  <c r="N111" i="7"/>
  <c r="O26" i="7"/>
  <c r="E26" i="11"/>
  <c r="I185" i="4"/>
  <c r="E111" i="6"/>
  <c r="F26" i="6"/>
  <c r="E26" i="6" s="1"/>
  <c r="F109" i="6"/>
  <c r="E109" i="6" s="1"/>
  <c r="E110" i="6"/>
  <c r="F25" i="6"/>
  <c r="E115" i="6"/>
  <c r="F30" i="6"/>
  <c r="E30" i="6" s="1"/>
  <c r="E228" i="4"/>
  <c r="K14" i="4"/>
  <c r="E185" i="4"/>
  <c r="N114" i="7"/>
  <c r="O29" i="7"/>
  <c r="E103" i="7"/>
  <c r="F17" i="7"/>
  <c r="E17" i="7" s="1"/>
  <c r="H8" i="6"/>
  <c r="J106" i="6"/>
  <c r="I106" i="6" s="1"/>
  <c r="I107" i="6"/>
  <c r="J22" i="6"/>
  <c r="I98" i="7"/>
  <c r="J12" i="7"/>
  <c r="I12" i="7" s="1"/>
  <c r="O106" i="7"/>
  <c r="N106" i="7" s="1"/>
  <c r="N107" i="7"/>
  <c r="O22" i="7"/>
  <c r="H11" i="4"/>
  <c r="L94" i="7"/>
  <c r="L132" i="7" s="1"/>
  <c r="E199" i="4"/>
  <c r="F18" i="4"/>
  <c r="N103" i="6"/>
  <c r="O17" i="6"/>
  <c r="I111" i="6"/>
  <c r="J26" i="6"/>
  <c r="I26" i="6" s="1"/>
  <c r="N185" i="4"/>
  <c r="O11" i="4"/>
  <c r="I110" i="6"/>
  <c r="J109" i="6"/>
  <c r="I109" i="6" s="1"/>
  <c r="J25" i="6"/>
  <c r="N108" i="6"/>
  <c r="O23" i="6"/>
  <c r="N199" i="4"/>
  <c r="O18" i="4"/>
  <c r="L14" i="4"/>
  <c r="F104" i="6"/>
  <c r="E104" i="6" s="1"/>
  <c r="E105" i="6"/>
  <c r="F19" i="6"/>
  <c r="I100" i="7"/>
  <c r="J99" i="7"/>
  <c r="I99" i="7" s="1"/>
  <c r="J14" i="7"/>
  <c r="I15" i="4"/>
  <c r="N103" i="7"/>
  <c r="O17" i="7"/>
  <c r="F95" i="7"/>
  <c r="E96" i="7"/>
  <c r="F10" i="7"/>
  <c r="F11" i="4"/>
  <c r="N211" i="4"/>
  <c r="I16" i="4"/>
  <c r="N16" i="4"/>
  <c r="I101" i="7"/>
  <c r="J15" i="7"/>
  <c r="I15" i="7" s="1"/>
  <c r="E20" i="4"/>
  <c r="E17" i="4"/>
  <c r="I98" i="6"/>
  <c r="J12" i="6"/>
  <c r="I12" i="6" s="1"/>
  <c r="M8" i="7"/>
  <c r="D16" i="5" s="1"/>
  <c r="H94" i="6"/>
  <c r="H132" i="6" s="1"/>
  <c r="H236" i="4" s="1"/>
  <c r="I97" i="6"/>
  <c r="J11" i="6"/>
  <c r="I11" i="6" s="1"/>
  <c r="P14" i="4"/>
  <c r="N98" i="6"/>
  <c r="O12" i="6"/>
  <c r="E103" i="6"/>
  <c r="F17" i="6"/>
  <c r="E17" i="6" s="1"/>
  <c r="G8" i="7"/>
  <c r="J104" i="7"/>
  <c r="I104" i="7" s="1"/>
  <c r="I105" i="7"/>
  <c r="J19" i="7"/>
  <c r="I187" i="4"/>
  <c r="E108" i="7"/>
  <c r="F23" i="7"/>
  <c r="E23" i="7" s="1"/>
  <c r="E98" i="6"/>
  <c r="F12" i="6"/>
  <c r="E12" i="6" s="1"/>
  <c r="N98" i="7"/>
  <c r="O12" i="7"/>
  <c r="N96" i="7"/>
  <c r="O95" i="7"/>
  <c r="O10" i="7"/>
  <c r="J11" i="4"/>
  <c r="I192" i="4"/>
  <c r="J14" i="4"/>
  <c r="N20" i="4"/>
  <c r="F112" i="7"/>
  <c r="E113" i="7"/>
  <c r="F28" i="7"/>
  <c r="E187" i="4"/>
  <c r="N187" i="4"/>
  <c r="L11" i="4"/>
  <c r="F99" i="6"/>
  <c r="E99" i="6" s="1"/>
  <c r="E100" i="6"/>
  <c r="F14" i="6"/>
  <c r="M18" i="4"/>
  <c r="J112" i="7"/>
  <c r="I113" i="7"/>
  <c r="J28" i="7"/>
  <c r="Q8" i="6"/>
  <c r="D54" i="5" s="1"/>
  <c r="I101" i="6"/>
  <c r="J15" i="6"/>
  <c r="I15" i="6" s="1"/>
  <c r="G94" i="7"/>
  <c r="G132" i="7" s="1"/>
  <c r="O109" i="6"/>
  <c r="N109" i="6" s="1"/>
  <c r="N110" i="6"/>
  <c r="O25" i="6"/>
  <c r="N102" i="7"/>
  <c r="O16" i="7"/>
  <c r="E208" i="4"/>
  <c r="E190" i="4"/>
  <c r="H14" i="4"/>
  <c r="I108" i="6"/>
  <c r="J23" i="6"/>
  <c r="I23" i="6" s="1"/>
  <c r="I190" i="4"/>
  <c r="M14" i="4"/>
  <c r="Q14" i="4"/>
  <c r="N101" i="7"/>
  <c r="O15" i="7"/>
  <c r="E110" i="7"/>
  <c r="F109" i="7"/>
  <c r="E109" i="7" s="1"/>
  <c r="F25" i="7"/>
  <c r="I103" i="6"/>
  <c r="J17" i="6"/>
  <c r="I17" i="6" s="1"/>
  <c r="M8" i="6"/>
  <c r="D39" i="5" s="1"/>
  <c r="N17" i="4"/>
  <c r="E204" i="4"/>
  <c r="L8" i="6"/>
  <c r="D38" i="5" s="1"/>
  <c r="E102" i="6"/>
  <c r="F16" i="6"/>
  <c r="E16" i="6" s="1"/>
  <c r="N101" i="6"/>
  <c r="O15" i="6"/>
  <c r="N208" i="4"/>
  <c r="J95" i="6"/>
  <c r="I96" i="6"/>
  <c r="J10" i="6"/>
  <c r="P11" i="4"/>
  <c r="J99" i="6"/>
  <c r="I99" i="6" s="1"/>
  <c r="I100" i="6"/>
  <c r="J14" i="6"/>
  <c r="N114" i="6"/>
  <c r="O29" i="6"/>
  <c r="E105" i="7"/>
  <c r="F104" i="7"/>
  <c r="E104" i="7" s="1"/>
  <c r="F19" i="7"/>
  <c r="J106" i="7"/>
  <c r="I106" i="7" s="1"/>
  <c r="I107" i="7"/>
  <c r="J22" i="7"/>
  <c r="I211" i="4"/>
  <c r="G18" i="4"/>
  <c r="I208" i="4"/>
  <c r="E114" i="6"/>
  <c r="F29" i="6"/>
  <c r="E29" i="6" s="1"/>
  <c r="P18" i="4"/>
  <c r="N111" i="6"/>
  <c r="O26" i="6"/>
  <c r="K8" i="6"/>
  <c r="D37" i="5" s="1"/>
  <c r="O104" i="6"/>
  <c r="N104" i="6" s="1"/>
  <c r="N105" i="6"/>
  <c r="O19" i="6"/>
  <c r="G14" i="4"/>
  <c r="M94" i="6"/>
  <c r="M132" i="6" s="1"/>
  <c r="M236" i="4" s="1"/>
  <c r="O99" i="6"/>
  <c r="N99" i="6" s="1"/>
  <c r="N100" i="6"/>
  <c r="O14" i="6"/>
  <c r="E101" i="7"/>
  <c r="F15" i="7"/>
  <c r="E15" i="7" s="1"/>
  <c r="N100" i="7"/>
  <c r="O99" i="7"/>
  <c r="N99" i="7" s="1"/>
  <c r="O14" i="7"/>
  <c r="L94" i="6"/>
  <c r="L132" i="6" s="1"/>
  <c r="L236" i="4" s="1"/>
  <c r="N113" i="7"/>
  <c r="O112" i="7"/>
  <c r="N112" i="7" s="1"/>
  <c r="O28" i="7"/>
  <c r="E98" i="7"/>
  <c r="F12" i="7"/>
  <c r="E12" i="7" s="1"/>
  <c r="N97" i="7"/>
  <c r="O11" i="7"/>
  <c r="E114" i="7"/>
  <c r="F29" i="7"/>
  <c r="E29" i="7" s="1"/>
  <c r="I114" i="7"/>
  <c r="J29" i="7"/>
  <c r="I29" i="7" s="1"/>
  <c r="I105" i="6"/>
  <c r="J104" i="6"/>
  <c r="I104" i="6" s="1"/>
  <c r="J19" i="6"/>
  <c r="Q8" i="7"/>
  <c r="D31" i="5" s="1"/>
  <c r="Q18" i="4"/>
  <c r="E97" i="6"/>
  <c r="F11" i="6"/>
  <c r="E11" i="6" s="1"/>
  <c r="I103" i="7"/>
  <c r="J17" i="7"/>
  <c r="I17" i="7" s="1"/>
  <c r="I102" i="7"/>
  <c r="J16" i="7"/>
  <c r="I16" i="7" s="1"/>
  <c r="I199" i="4"/>
  <c r="J18" i="4"/>
  <c r="N97" i="6"/>
  <c r="O11" i="6"/>
  <c r="O109" i="7"/>
  <c r="N109" i="7" s="1"/>
  <c r="N110" i="7"/>
  <c r="O25" i="7"/>
  <c r="I97" i="7"/>
  <c r="J11" i="7"/>
  <c r="I11" i="7" s="1"/>
  <c r="I204" i="4"/>
  <c r="N108" i="7"/>
  <c r="O23" i="7"/>
  <c r="N228" i="4"/>
  <c r="E115" i="7"/>
  <c r="F30" i="7"/>
  <c r="E30" i="7" s="1"/>
  <c r="E15" i="4"/>
  <c r="K18" i="4"/>
  <c r="I114" i="6"/>
  <c r="J29" i="6"/>
  <c r="I29" i="6" s="1"/>
  <c r="E97" i="7"/>
  <c r="F11" i="7"/>
  <c r="E11" i="7" s="1"/>
  <c r="F106" i="7"/>
  <c r="E106" i="7" s="1"/>
  <c r="E107" i="7"/>
  <c r="F22" i="7"/>
  <c r="N96" i="6"/>
  <c r="O95" i="6"/>
  <c r="O10" i="6"/>
  <c r="P8" i="6"/>
  <c r="D53" i="5" s="1"/>
  <c r="N115" i="6"/>
  <c r="O30" i="6"/>
  <c r="N204" i="4"/>
  <c r="P94" i="7"/>
  <c r="P132" i="7" s="1"/>
  <c r="N105" i="7"/>
  <c r="O104" i="7"/>
  <c r="N104" i="7" s="1"/>
  <c r="O19" i="7"/>
  <c r="Q94" i="7"/>
  <c r="Q132" i="7" s="1"/>
  <c r="Q11" i="4"/>
  <c r="N15" i="4"/>
  <c r="E108" i="6"/>
  <c r="F23" i="6"/>
  <c r="E23" i="6" s="1"/>
  <c r="E113" i="6"/>
  <c r="F112" i="6"/>
  <c r="F28" i="6"/>
  <c r="I19" i="4"/>
  <c r="I102" i="6"/>
  <c r="J16" i="6"/>
  <c r="I16" i="6" s="1"/>
  <c r="G11" i="4"/>
  <c r="E16" i="4"/>
  <c r="I113" i="6"/>
  <c r="J112" i="6"/>
  <c r="J28" i="6"/>
  <c r="H8" i="7"/>
  <c r="I115" i="7"/>
  <c r="J30" i="7"/>
  <c r="I30" i="7" s="1"/>
  <c r="I228" i="4"/>
  <c r="N107" i="6"/>
  <c r="O106" i="6"/>
  <c r="N106" i="6" s="1"/>
  <c r="O22" i="6"/>
  <c r="E19" i="4"/>
  <c r="I115" i="6"/>
  <c r="J30" i="6"/>
  <c r="I30" i="6" s="1"/>
  <c r="P94" i="6"/>
  <c r="P132" i="6" s="1"/>
  <c r="P236" i="4" s="1"/>
  <c r="K11" i="4"/>
  <c r="E111" i="7"/>
  <c r="F26" i="7"/>
  <c r="E26" i="7" s="1"/>
  <c r="J109" i="7"/>
  <c r="I109" i="7" s="1"/>
  <c r="I110" i="7"/>
  <c r="J25" i="7"/>
  <c r="I20" i="4"/>
  <c r="I17" i="4"/>
  <c r="N19" i="4"/>
  <c r="I108" i="7"/>
  <c r="J23" i="7"/>
  <c r="I23" i="7" s="1"/>
  <c r="N102" i="6"/>
  <c r="O16" i="6"/>
  <c r="N192" i="4"/>
  <c r="O14" i="4"/>
  <c r="N115" i="7"/>
  <c r="O30" i="7"/>
  <c r="E102" i="7"/>
  <c r="F16" i="7"/>
  <c r="E16" i="7" s="1"/>
  <c r="O112" i="6"/>
  <c r="N112" i="6" s="1"/>
  <c r="N113" i="6"/>
  <c r="O28" i="6"/>
  <c r="E39" i="10" l="1"/>
  <c r="E112" i="6"/>
  <c r="F27" i="6"/>
  <c r="E27" i="6" s="1"/>
  <c r="E28" i="6"/>
  <c r="Q25" i="4"/>
  <c r="Q21" i="4"/>
  <c r="J9" i="6"/>
  <c r="I10" i="6"/>
  <c r="N95" i="7"/>
  <c r="O94" i="7"/>
  <c r="N12" i="6"/>
  <c r="D12" i="6"/>
  <c r="F9" i="7"/>
  <c r="E10" i="7"/>
  <c r="E18" i="4"/>
  <c r="I11" i="4"/>
  <c r="I19" i="6"/>
  <c r="J18" i="6"/>
  <c r="I18" i="6" s="1"/>
  <c r="N19" i="6"/>
  <c r="O18" i="6"/>
  <c r="I22" i="7"/>
  <c r="J21" i="7"/>
  <c r="I21" i="7" s="1"/>
  <c r="E25" i="7"/>
  <c r="F24" i="7"/>
  <c r="E24" i="7" s="1"/>
  <c r="N29" i="7"/>
  <c r="D29" i="7"/>
  <c r="E10" i="6"/>
  <c r="F9" i="6"/>
  <c r="E22" i="6"/>
  <c r="F21" i="6"/>
  <c r="E21" i="6" s="1"/>
  <c r="J13" i="6"/>
  <c r="I13" i="6" s="1"/>
  <c r="I14" i="6"/>
  <c r="I95" i="6"/>
  <c r="J94" i="6"/>
  <c r="J132" i="6" s="1"/>
  <c r="F13" i="6"/>
  <c r="E13" i="6" s="1"/>
  <c r="E14" i="6"/>
  <c r="I14" i="4"/>
  <c r="D12" i="7"/>
  <c r="N12" i="7"/>
  <c r="I19" i="7"/>
  <c r="J18" i="7"/>
  <c r="I18" i="7" s="1"/>
  <c r="F94" i="7"/>
  <c r="F132" i="7" s="1"/>
  <c r="E132" i="7" s="1"/>
  <c r="E95" i="7"/>
  <c r="F18" i="6"/>
  <c r="E18" i="6" s="1"/>
  <c r="E19" i="6"/>
  <c r="N23" i="6"/>
  <c r="D23" i="6"/>
  <c r="E40" i="11"/>
  <c r="F94" i="6"/>
  <c r="F132" i="6" s="1"/>
  <c r="E95" i="6"/>
  <c r="K25" i="4"/>
  <c r="K21" i="4"/>
  <c r="O94" i="6"/>
  <c r="N95" i="6"/>
  <c r="J24" i="7"/>
  <c r="I24" i="7" s="1"/>
  <c r="I25" i="7"/>
  <c r="P198" i="4"/>
  <c r="E22" i="7"/>
  <c r="F21" i="7"/>
  <c r="E21" i="7" s="1"/>
  <c r="N11" i="6"/>
  <c r="D11" i="6"/>
  <c r="D30" i="7"/>
  <c r="N30" i="7"/>
  <c r="N30" i="6"/>
  <c r="D30" i="6"/>
  <c r="O27" i="7"/>
  <c r="N28" i="7"/>
  <c r="N14" i="4"/>
  <c r="G25" i="4"/>
  <c r="G21" i="4"/>
  <c r="N19" i="7"/>
  <c r="O18" i="7"/>
  <c r="I18" i="4"/>
  <c r="O13" i="6"/>
  <c r="N14" i="6"/>
  <c r="D17" i="7"/>
  <c r="N17" i="7"/>
  <c r="J21" i="6"/>
  <c r="I21" i="6" s="1"/>
  <c r="I22" i="6"/>
  <c r="E25" i="6"/>
  <c r="F24" i="6"/>
  <c r="E24" i="6" s="1"/>
  <c r="O27" i="6"/>
  <c r="N28" i="6"/>
  <c r="N22" i="6"/>
  <c r="O21" i="6"/>
  <c r="J27" i="6"/>
  <c r="I27" i="6" s="1"/>
  <c r="I28" i="6"/>
  <c r="N10" i="6"/>
  <c r="O9" i="6"/>
  <c r="O24" i="7"/>
  <c r="N25" i="7"/>
  <c r="F18" i="7"/>
  <c r="E18" i="7" s="1"/>
  <c r="E19" i="7"/>
  <c r="D15" i="7"/>
  <c r="N15" i="7"/>
  <c r="N16" i="7"/>
  <c r="D16" i="7"/>
  <c r="E28" i="7"/>
  <c r="F27" i="7"/>
  <c r="E27" i="7" s="1"/>
  <c r="I25" i="6"/>
  <c r="J24" i="6"/>
  <c r="I24" i="6" s="1"/>
  <c r="E11" i="4"/>
  <c r="N26" i="7"/>
  <c r="D26" i="7"/>
  <c r="L198" i="4"/>
  <c r="D26" i="6"/>
  <c r="N26" i="6"/>
  <c r="N15" i="6"/>
  <c r="D15" i="6"/>
  <c r="I28" i="7"/>
  <c r="J27" i="7"/>
  <c r="I27" i="7" s="1"/>
  <c r="E112" i="7"/>
  <c r="N17" i="6"/>
  <c r="D17" i="6"/>
  <c r="N11" i="7"/>
  <c r="D11" i="7"/>
  <c r="N16" i="6"/>
  <c r="D16" i="6"/>
  <c r="I112" i="6"/>
  <c r="N23" i="7"/>
  <c r="D23" i="7"/>
  <c r="N14" i="7"/>
  <c r="O13" i="7"/>
  <c r="M198" i="4"/>
  <c r="N25" i="6"/>
  <c r="D25" i="6"/>
  <c r="O24" i="6"/>
  <c r="I112" i="7"/>
  <c r="H198" i="4"/>
  <c r="N22" i="7"/>
  <c r="O21" i="7"/>
  <c r="E14" i="7"/>
  <c r="F13" i="7"/>
  <c r="E13" i="7" s="1"/>
  <c r="E14" i="4"/>
  <c r="J9" i="7"/>
  <c r="I10" i="7"/>
  <c r="N29" i="6"/>
  <c r="D29" i="6"/>
  <c r="N10" i="7"/>
  <c r="O9" i="7"/>
  <c r="I14" i="7"/>
  <c r="J13" i="7"/>
  <c r="I13" i="7" s="1"/>
  <c r="N18" i="4"/>
  <c r="N11" i="4"/>
  <c r="J94" i="7"/>
  <c r="J132" i="7" s="1"/>
  <c r="I132" i="7" s="1"/>
  <c r="I95" i="7"/>
  <c r="D14" i="6" l="1"/>
  <c r="E94" i="6"/>
  <c r="D10" i="7"/>
  <c r="D19" i="7"/>
  <c r="D28" i="6"/>
  <c r="D22" i="6"/>
  <c r="D19" i="6"/>
  <c r="D10" i="6"/>
  <c r="D25" i="7"/>
  <c r="D22" i="7"/>
  <c r="D28" i="7"/>
  <c r="D14" i="7"/>
  <c r="D24" i="6"/>
  <c r="N24" i="6"/>
  <c r="D13" i="7"/>
  <c r="N13" i="7"/>
  <c r="N9" i="6"/>
  <c r="O8" i="6"/>
  <c r="N13" i="6"/>
  <c r="D13" i="6"/>
  <c r="N18" i="7"/>
  <c r="D18" i="7"/>
  <c r="D43" i="3"/>
  <c r="D18" i="6"/>
  <c r="N18" i="6"/>
  <c r="N27" i="6"/>
  <c r="D27" i="6"/>
  <c r="K22" i="4"/>
  <c r="D49" i="3"/>
  <c r="D82" i="3" s="1"/>
  <c r="N27" i="7"/>
  <c r="D27" i="7"/>
  <c r="I9" i="6"/>
  <c r="I8" i="6" s="1"/>
  <c r="D35" i="5" s="1"/>
  <c r="J8" i="6"/>
  <c r="D36" i="5" s="1"/>
  <c r="Q22" i="4"/>
  <c r="D21" i="7"/>
  <c r="N21" i="7"/>
  <c r="M184" i="4"/>
  <c r="P184" i="4"/>
  <c r="E94" i="7"/>
  <c r="H184" i="4"/>
  <c r="G22" i="4"/>
  <c r="E132" i="6"/>
  <c r="F236" i="4"/>
  <c r="E9" i="7"/>
  <c r="E8" i="7" s="1"/>
  <c r="D11" i="5" s="1"/>
  <c r="F8" i="7"/>
  <c r="I94" i="7"/>
  <c r="L184" i="4"/>
  <c r="N21" i="6"/>
  <c r="D21" i="6"/>
  <c r="I132" i="6"/>
  <c r="J236" i="4"/>
  <c r="F8" i="6"/>
  <c r="E9" i="6"/>
  <c r="E8" i="6" s="1"/>
  <c r="D34" i="5" s="1"/>
  <c r="N9" i="7"/>
  <c r="O8" i="7"/>
  <c r="J8" i="7"/>
  <c r="D13" i="5" s="1"/>
  <c r="I9" i="7"/>
  <c r="I8" i="7" s="1"/>
  <c r="D12" i="5" s="1"/>
  <c r="N24" i="7"/>
  <c r="D24" i="7"/>
  <c r="I94" i="6"/>
  <c r="O132" i="6"/>
  <c r="N94" i="6"/>
  <c r="O132" i="7"/>
  <c r="N94" i="7"/>
  <c r="D33" i="5" l="1"/>
  <c r="L25" i="4"/>
  <c r="L21" i="4"/>
  <c r="E236" i="4"/>
  <c r="H25" i="4"/>
  <c r="H21" i="4"/>
  <c r="I236" i="4"/>
  <c r="J198" i="4"/>
  <c r="N132" i="7"/>
  <c r="D132" i="7"/>
  <c r="P25" i="4"/>
  <c r="P21" i="4"/>
  <c r="D132" i="6"/>
  <c r="N132" i="6"/>
  <c r="O236" i="4"/>
  <c r="N8" i="7"/>
  <c r="D29" i="5"/>
  <c r="D52" i="5"/>
  <c r="N8" i="6"/>
  <c r="M25" i="4"/>
  <c r="M21" i="4"/>
  <c r="D9" i="7"/>
  <c r="D8" i="7" s="1"/>
  <c r="D10" i="5"/>
  <c r="E55" i="11"/>
  <c r="D9" i="6"/>
  <c r="D8" i="6" s="1"/>
  <c r="D28" i="5" l="1"/>
  <c r="D27" i="5" s="1"/>
  <c r="D17" i="5" s="1"/>
  <c r="D48" i="3"/>
  <c r="D81" i="3" s="1"/>
  <c r="D44" i="3"/>
  <c r="P22" i="4"/>
  <c r="L22" i="4"/>
  <c r="D45" i="3"/>
  <c r="D78" i="3" s="1"/>
  <c r="O198" i="4"/>
  <c r="D236" i="4"/>
  <c r="N236" i="4"/>
  <c r="I198" i="4"/>
  <c r="J184" i="4"/>
  <c r="F184" i="4"/>
  <c r="D51" i="5"/>
  <c r="M22" i="4"/>
  <c r="H22" i="4"/>
  <c r="F25" i="4" l="1"/>
  <c r="F21" i="4"/>
  <c r="E184" i="4"/>
  <c r="J25" i="4"/>
  <c r="J21" i="4"/>
  <c r="I184" i="4"/>
  <c r="D50" i="5"/>
  <c r="N198" i="4"/>
  <c r="O184" i="4"/>
  <c r="D40" i="5" l="1"/>
  <c r="N184" i="4"/>
  <c r="O25" i="4"/>
  <c r="O21" i="4"/>
  <c r="E21" i="4"/>
  <c r="E25" i="4"/>
  <c r="F22" i="4"/>
  <c r="I21" i="4"/>
  <c r="D92" i="3"/>
  <c r="D42" i="3"/>
  <c r="I25" i="4"/>
  <c r="J22" i="4"/>
  <c r="D41" i="3" l="1"/>
  <c r="D15" i="3" s="1"/>
  <c r="D75" i="3" s="1"/>
  <c r="N21" i="4"/>
  <c r="D47" i="3"/>
  <c r="D80" i="3" s="1"/>
  <c r="N25" i="4"/>
  <c r="D25" i="4"/>
  <c r="O22" i="4"/>
  <c r="I22" i="4"/>
  <c r="E22" i="4"/>
  <c r="D40" i="3"/>
  <c r="D73" i="3" s="1"/>
  <c r="D22" i="4" l="1"/>
  <c r="N22" i="4"/>
  <c r="D18" i="3"/>
  <c r="D76" i="3" s="1"/>
  <c r="D22" i="3"/>
  <c r="D77" i="3" s="1"/>
  <c r="D39" i="3"/>
  <c r="D38" i="3" s="1"/>
  <c r="D46" i="3"/>
  <c r="D79" i="3" s="1"/>
  <c r="D14" i="3" l="1"/>
  <c r="D74" i="3" s="1"/>
  <c r="D89" i="3"/>
  <c r="D87" i="3"/>
  <c r="D10" i="3" l="1"/>
  <c r="D90" i="3"/>
  <c r="D91" i="3"/>
  <c r="D88" i="3"/>
  <c r="D71" i="3" l="1"/>
  <c r="D85" i="3" s="1"/>
  <c r="D72" i="3"/>
  <c r="D8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D36" authorId="0" shapeId="0" xr:uid="{531B7ECE-56AF-4F33-8351-15D9E3B28185}">
      <text>
        <r>
          <rPr>
            <b/>
            <sz val="9"/>
            <color indexed="81"/>
            <rFont val="Tahoma"/>
            <family val="2"/>
            <charset val="186"/>
          </rPr>
          <t>HP:</t>
        </r>
        <r>
          <rPr>
            <sz val="9"/>
            <color indexed="81"/>
            <rFont val="Tahoma"/>
            <family val="2"/>
            <charset val="186"/>
          </rPr>
          <t xml:space="preserve">
pridetos finansines veiklos pajamos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2" authorId="0" shapeId="0" xr:uid="{D3E92A0F-592C-4045-9139-F61D6835ECA0}">
      <text>
        <r>
          <rPr>
            <sz val="9"/>
            <color indexed="81"/>
            <rFont val="Tahoma"/>
            <family val="2"/>
            <charset val="186"/>
          </rPr>
          <t xml:space="preserve">senoje formoje vamzdynams neskiriama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2" authorId="0" shapeId="0" xr:uid="{98E88644-640F-492E-98D0-5AD673D35DA8}">
      <text>
        <r>
          <rPr>
            <sz val="9"/>
            <color indexed="81"/>
            <rFont val="Tahoma"/>
            <family val="2"/>
            <charset val="186"/>
          </rPr>
          <t xml:space="preserve">senoje formoje vamzdynams neskiriama
</t>
        </r>
      </text>
    </comment>
  </commentList>
</comments>
</file>

<file path=xl/sharedStrings.xml><?xml version="1.0" encoding="utf-8"?>
<sst xmlns="http://schemas.openxmlformats.org/spreadsheetml/2006/main" count="2774" uniqueCount="1358">
  <si>
    <t>Geriamojo vandens tiekimo ir nuotekų tvarkymo bei paviršinių nuotekų tvarkymo paslaugų įmonių apskaitos atskyrimo ir susijusių reikalavimų aprašo 1 priedas</t>
  </si>
  <si>
    <t xml:space="preserve">Ilgalaikio turto grupių ir nusidėvėjimo (amortizacijos) skaičiavimo laikotarpių sąrašas
</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</si>
  <si>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</si>
  <si>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</si>
  <si>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</si>
  <si>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</si>
  <si>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</si>
  <si>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</si>
  <si>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</si>
  <si>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</si>
  <si>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</si>
  <si>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</si>
  <si>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</si>
  <si>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</si>
  <si>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</si>
  <si>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</si>
  <si>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</si>
  <si>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</si>
  <si>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</si>
  <si>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</si>
  <si>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</si>
  <si>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</si>
  <si>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</si>
  <si>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r>
      <t>Kiti įrenginiai (</t>
    </r>
    <r>
      <rPr>
        <sz val="10"/>
        <color theme="1"/>
        <rFont val="Times New Roman"/>
        <family val="1"/>
        <charset val="186"/>
      </rPr>
      <t>siurblinių statiniai,</t>
    </r>
    <r>
      <rPr>
        <sz val="10"/>
        <color theme="1"/>
        <rFont val="Times New Roman"/>
        <family val="1"/>
      </rPr>
      <t xml:space="preserve"> vandentiekio įrenginiai, nusodintuvai, diukeriai, vandens rezervuarai, gelžbetoniniai metantankai, smėlio gaudytuvai, aerotankai, nusodintuvai, nuotekų valymo flotatoriai, dumblo aikštelės ir kt.)</t>
    </r>
  </si>
  <si>
    <t>II.3.</t>
  </si>
  <si>
    <t>MAŠINOS IR ĮRANGA</t>
  </si>
  <si>
    <t>II.3.1.</t>
  </si>
  <si>
    <r>
      <t>vandens siurbliai, nuotekų ir dumblo siurbliai virš 5 kW, kita įranga (</t>
    </r>
    <r>
      <rPr>
        <sz val="10"/>
        <color theme="1"/>
        <rFont val="Times New Roman"/>
        <family val="1"/>
        <charset val="186"/>
      </rPr>
      <t xml:space="preserve"> siurblių valdymo įranga</t>
    </r>
    <r>
      <rPr>
        <sz val="10"/>
        <color theme="1"/>
        <rFont val="Times New Roman"/>
        <family val="1"/>
      </rPr>
      <t xml:space="preserve">, </t>
    </r>
    <r>
      <rPr>
        <sz val="10"/>
        <color theme="1"/>
        <rFont val="Times New Roman"/>
        <family val="1"/>
        <charset val="186"/>
      </rPr>
      <t>elektrotechninė įranga</t>
    </r>
    <r>
      <rPr>
        <sz val="10"/>
        <color theme="1"/>
        <rFont val="Times New Roman"/>
        <family val="1"/>
      </rPr>
      <t xml:space="preserve">, stacionarios ir mobilios darbo bei </t>
    </r>
    <r>
      <rPr>
        <sz val="10"/>
        <color theme="1"/>
        <rFont val="Times New Roman"/>
        <family val="1"/>
        <charset val="186"/>
      </rPr>
      <t>hidrodinaminės mašino</t>
    </r>
    <r>
      <rPr>
        <sz val="10"/>
        <color theme="1"/>
        <rFont val="Times New Roman"/>
        <family val="1"/>
      </rPr>
      <t>s, staklės, sklendės, grotelės, grėbliai, grandikliai, filtrai, centrifugos)</t>
    </r>
  </si>
  <si>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</si>
  <si>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</si>
  <si>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</si>
  <si>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</si>
  <si>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</si>
  <si>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</si>
  <si>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</si>
  <si>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</si>
  <si>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</si>
  <si>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</si>
  <si>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</si>
  <si>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</si>
  <si>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</si>
  <si>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</si>
  <si>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Geriamojo vandens tiekimo ir nuotekų tvarkymo bei paviršinių nuotekų tvarkymo paslaugų įmonių apskaitos atskyrimo ir susijusių reikalavimų aprašo 2 priedas</t>
  </si>
  <si>
    <t>Ataskaitinio laikotarpio Ūkio subjekto suvestinė balanso ataskaita pagal finansinės apskaitos standartus (tūkst. Eur)</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</si>
  <si>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</si>
  <si>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</si>
  <si>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</si>
  <si>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</si>
  <si>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</si>
  <si>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</si>
  <si>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</si>
  <si>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</si>
  <si>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</si>
  <si>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</si>
  <si>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</si>
  <si>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</si>
  <si>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</si>
  <si>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</si>
  <si>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</si>
  <si>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</si>
  <si>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</si>
  <si>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</si>
  <si>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</si>
  <si>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</si>
  <si>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</si>
  <si>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</si>
  <si>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</si>
  <si>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</si>
  <si>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</si>
  <si>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</si>
  <si>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</si>
  <si>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</si>
  <si>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</si>
  <si>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</si>
  <si>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</si>
  <si>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</si>
  <si>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</si>
  <si>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</si>
  <si>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</si>
  <si>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</si>
  <si>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</si>
  <si>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</si>
  <si>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</si>
  <si>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</si>
  <si>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</si>
  <si>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</si>
  <si>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</si>
  <si>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Geriamojo vandens tiekimo ir nuotekų tvarkymo bei paviršinių nuotekų tvarkymo paslaugų įmonių apskaitos atskyrimo ir susijusių reikalavimų aprašo 3 priedas</t>
  </si>
  <si>
    <t>Ataskaitinio laikotarpio reguliuojamosios veiklos pelno (nuostolių) ataskaita (tūkst. Eur)</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</si>
  <si>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</si>
  <si>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</si>
  <si>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</si>
  <si>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</si>
  <si>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</si>
  <si>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</si>
  <si>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</si>
  <si>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</si>
  <si>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</si>
  <si>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</si>
  <si>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</si>
  <si>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</si>
  <si>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</si>
  <si>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</si>
  <si>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</si>
  <si>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</si>
  <si>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</si>
  <si>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</si>
  <si>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</si>
  <si>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</si>
  <si>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</si>
  <si>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</si>
  <si>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</si>
  <si>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</si>
  <si>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</si>
  <si>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</si>
  <si>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</si>
  <si>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</si>
  <si>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</si>
  <si>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</si>
  <si>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</si>
  <si>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</si>
  <si>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</si>
  <si>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</si>
  <si>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</si>
  <si>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r>
      <t xml:space="preserve">pajamos už paviršinių nuotekų tvarkymą, jei yra </t>
    </r>
    <r>
      <rPr>
        <b/>
        <i/>
        <sz val="9"/>
        <rFont val="Times New Roman"/>
        <family val="1"/>
        <charset val="186"/>
      </rPr>
      <t xml:space="preserve">mišri </t>
    </r>
    <r>
      <rPr>
        <i/>
        <sz val="9"/>
        <rFont val="Times New Roman"/>
        <family val="1"/>
        <charset val="186"/>
      </rPr>
      <t>nuotekų surinkimo sistema</t>
    </r>
  </si>
  <si>
    <t>A.3.2.</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</si>
  <si>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</si>
  <si>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</si>
  <si>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</si>
  <si>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</si>
  <si>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</si>
  <si>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</si>
  <si>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</si>
  <si>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</si>
  <si>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</si>
  <si>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</si>
  <si>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</si>
  <si>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</si>
  <si>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</si>
  <si>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</si>
  <si>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</si>
  <si>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</si>
  <si>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</si>
  <si>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</si>
  <si>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</si>
  <si>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</si>
  <si>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</si>
  <si>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</si>
  <si>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</si>
  <si>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</si>
  <si>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</si>
  <si>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</si>
  <si>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</si>
  <si>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</si>
  <si>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</si>
  <si>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</si>
  <si>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</si>
  <si>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</si>
  <si>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</si>
  <si>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</si>
  <si>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</si>
  <si>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</si>
  <si>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</si>
  <si>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</si>
  <si>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</si>
  <si>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</si>
  <si>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</si>
  <si>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</si>
  <si>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</si>
  <si>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</si>
  <si>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</si>
  <si>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</si>
  <si>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</si>
  <si>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</si>
  <si>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</si>
  <si>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</si>
  <si>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</si>
  <si>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</si>
  <si>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</si>
  <si>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</si>
  <si>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</si>
  <si>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</si>
  <si>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</si>
  <si>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</si>
  <si>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</si>
  <si>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</si>
  <si>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</si>
  <si>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</si>
  <si>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</si>
  <si>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</si>
  <si>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</si>
  <si>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</si>
  <si>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</si>
  <si>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</si>
  <si>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</si>
  <si>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</si>
  <si>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</si>
  <si>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</si>
  <si>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</si>
  <si>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</si>
  <si>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</si>
  <si>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</si>
  <si>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</si>
  <si>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MOKESTĮ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</si>
  <si>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</si>
  <si>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</si>
  <si>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</si>
  <si>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</si>
  <si>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</si>
  <si>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</si>
  <si>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</si>
  <si>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</si>
  <si>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</si>
  <si>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</si>
  <si>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</si>
  <si>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</si>
  <si>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charset val="186"/>
      </rPr>
      <t>atskira</t>
    </r>
    <r>
      <rPr>
        <sz val="9"/>
        <rFont val="Times New Roman"/>
        <family val="1"/>
        <charset val="186"/>
      </rPr>
      <t xml:space="preserve"> paviršinių nuotekų surinkimo sistema</t>
    </r>
  </si>
  <si>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</si>
  <si>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</si>
  <si>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</si>
  <si>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</si>
  <si>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</si>
  <si>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</si>
  <si>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</si>
  <si>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</si>
  <si>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</si>
  <si>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</si>
  <si>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</si>
  <si>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</si>
  <si>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</si>
  <si>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</si>
  <si>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</si>
  <si>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</si>
  <si>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</si>
  <si>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</si>
  <si>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</si>
  <si>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</si>
  <si>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</si>
  <si>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</si>
  <si>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</si>
  <si>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r>
      <t xml:space="preserve">paviršinių nuotekų tvarkymo pelningumas (nuostolingumas, jei yra </t>
    </r>
    <r>
      <rPr>
        <b/>
        <sz val="9"/>
        <rFont val="Times New Roman"/>
        <family val="1"/>
        <charset val="186"/>
      </rPr>
      <t>atskira</t>
    </r>
    <r>
      <rPr>
        <sz val="9"/>
        <rFont val="Times New Roman"/>
        <family val="1"/>
        <charset val="186"/>
      </rPr>
      <t xml:space="preserve"> paviršinių nuotekų surinkimo sistema, %</t>
    </r>
  </si>
  <si>
    <t>*Iškyrus nurašyto į sąnaudas ilgalaikio turto vertė, susidariusi dėl Aprašo 1 priede pakeistų nusidėvėjimo (amortizacijos) laikotarpių</t>
  </si>
  <si>
    <t>** Prieš pelno mokestį</t>
  </si>
  <si>
    <t>Geriamojo vandens tiekimo ir nuotekų tvarkymo bei paviršinių nuotekų tvarkymo paslaugų įmonių apskaitos atskyrimo ir susijusių reikalavimų aprašo 4 priedas</t>
  </si>
  <si>
    <t>Ataskaitinio laikotarpio reguliuojamos veiklos sąnaudų paskirstymo verslo vienetams ir paslaugoms ataskaita (tūkst. Eur)</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</si>
  <si>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</si>
  <si>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</si>
  <si>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</si>
  <si>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</si>
  <si>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</si>
  <si>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</si>
  <si>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</si>
  <si>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</si>
  <si>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</si>
  <si>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</si>
  <si>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</si>
  <si>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</si>
  <si>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</si>
  <si>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</si>
  <si>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</si>
  <si>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</si>
  <si>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</si>
  <si>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</si>
  <si>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</si>
  <si>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</si>
  <si>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</si>
  <si>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</si>
  <si>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</si>
  <si>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</si>
  <si>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</si>
  <si>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</si>
  <si>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</si>
  <si>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</si>
  <si>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</si>
  <si>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</si>
  <si>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</si>
  <si>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</si>
  <si>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</si>
  <si>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</si>
  <si>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</si>
  <si>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</si>
  <si>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</si>
  <si>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</si>
  <si>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</si>
  <si>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</si>
  <si>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</si>
  <si>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</si>
  <si>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</si>
  <si>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</si>
  <si>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</si>
  <si>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</si>
  <si>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</si>
  <si>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</si>
  <si>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</si>
  <si>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 xml:space="preserve">Nuotekų tvarkymo paslaugų pirkimo sąnaudos </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</si>
  <si>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</si>
  <si>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</si>
  <si>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</si>
  <si>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</si>
  <si>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</si>
  <si>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</si>
  <si>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</si>
  <si>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</si>
  <si>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</si>
  <si>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</si>
  <si>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</si>
  <si>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</si>
  <si>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</si>
  <si>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</si>
  <si>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</si>
  <si>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</si>
  <si>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</si>
  <si>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</si>
  <si>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</si>
  <si>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</si>
  <si>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</si>
  <si>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</si>
  <si>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</si>
  <si>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</si>
  <si>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</si>
  <si>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</si>
  <si>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</si>
  <si>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</si>
  <si>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</si>
  <si>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</si>
  <si>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</si>
  <si>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</si>
  <si>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</si>
  <si>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</si>
  <si>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</si>
  <si>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</si>
  <si>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</si>
  <si>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</si>
  <si>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</si>
  <si>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</si>
  <si>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</si>
  <si>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</si>
  <si>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</si>
  <si>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</si>
  <si>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</si>
  <si>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</si>
  <si>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</si>
  <si>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</si>
  <si>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</si>
  <si>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</si>
  <si>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</si>
  <si>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</si>
  <si>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</si>
  <si>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</si>
  <si>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</si>
  <si>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</si>
  <si>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</si>
  <si>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</si>
  <si>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</si>
  <si>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</si>
  <si>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</si>
  <si>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</si>
  <si>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</si>
  <si>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</si>
  <si>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</si>
  <si>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</si>
  <si>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</si>
  <si>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</si>
  <si>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</si>
  <si>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</si>
  <si>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</si>
  <si>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</si>
  <si>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</si>
  <si>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</si>
  <si>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</si>
  <si>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</si>
  <si>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</si>
  <si>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</si>
  <si>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</si>
  <si>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</si>
  <si>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</si>
  <si>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</si>
  <si>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</si>
  <si>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</si>
  <si>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</si>
  <si>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</si>
  <si>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</si>
  <si>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</si>
  <si>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</si>
  <si>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</si>
  <si>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</si>
  <si>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</si>
  <si>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</si>
  <si>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</si>
  <si>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</si>
  <si>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</si>
  <si>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</si>
  <si>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</si>
  <si>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</si>
  <si>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</si>
  <si>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</si>
  <si>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</si>
  <si>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</si>
  <si>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</si>
  <si>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</si>
  <si>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</si>
  <si>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</si>
  <si>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</si>
  <si>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</si>
  <si>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</si>
  <si>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</si>
  <si>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</si>
  <si>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</si>
  <si>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</si>
  <si>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</si>
  <si>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</si>
  <si>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</si>
  <si>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</si>
  <si>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</si>
  <si>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</si>
  <si>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</si>
  <si>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</si>
  <si>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</si>
  <si>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</si>
  <si>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</si>
  <si>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</si>
  <si>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</si>
  <si>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</si>
  <si>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</si>
  <si>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</si>
  <si>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</si>
  <si>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</si>
  <si>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</si>
  <si>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</si>
  <si>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</si>
  <si>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</si>
  <si>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</si>
  <si>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</si>
  <si>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</si>
  <si>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</si>
  <si>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</si>
  <si>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</si>
  <si>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</si>
  <si>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</si>
  <si>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</si>
  <si>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</si>
  <si>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</si>
  <si>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</si>
  <si>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</si>
  <si>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</si>
  <si>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C.11.3.</t>
  </si>
  <si>
    <t>C.11.4.</t>
  </si>
  <si>
    <t>C.11.5.</t>
  </si>
  <si>
    <t>C.11.6.</t>
  </si>
  <si>
    <t>Netiesioginių sąnaudų paskirstymo kriterijus (įrašyti atitinkamą punktą)</t>
  </si>
  <si>
    <t xml:space="preserve">1.  IŠ VISO* </t>
  </si>
  <si>
    <t>C.1.  Punktui</t>
  </si>
  <si>
    <t xml:space="preserve">C.2.  Punktui </t>
  </si>
  <si>
    <t xml:space="preserve">C.3.  Punktui </t>
  </si>
  <si>
    <t xml:space="preserve">C.4.  Punktui </t>
  </si>
  <si>
    <t>Metrologinės patikros sąnaudos</t>
  </si>
  <si>
    <t>Avarijų šalinimo sąnaudos</t>
  </si>
  <si>
    <t>C.5.  Punktui</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</si>
  <si>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</si>
  <si>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</si>
  <si>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</si>
  <si>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</si>
  <si>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</si>
  <si>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</si>
  <si>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</si>
  <si>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</si>
  <si>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</si>
  <si>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</si>
  <si>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</si>
  <si>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</si>
  <si>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</si>
  <si>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</si>
  <si>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</si>
  <si>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</si>
  <si>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</si>
  <si>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</si>
  <si>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</si>
  <si>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</si>
  <si>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</si>
  <si>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</si>
  <si>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</si>
  <si>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</si>
  <si>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</si>
  <si>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</si>
  <si>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</si>
  <si>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</si>
  <si>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</si>
  <si>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C.10.  Punktui</t>
  </si>
  <si>
    <t>D.11.</t>
  </si>
  <si>
    <t>C.11.  Punktui</t>
  </si>
  <si>
    <t>BENDROSIOS SĄNAUDOS</t>
  </si>
  <si>
    <t>E.1.</t>
  </si>
  <si>
    <t>E.1.1.</t>
  </si>
  <si>
    <t>E.2.1.</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</si>
  <si>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</si>
  <si>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</si>
  <si>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</si>
  <si>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</si>
  <si>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</si>
  <si>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</si>
  <si>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</si>
  <si>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</si>
  <si>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</si>
  <si>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</si>
  <si>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</si>
  <si>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</si>
  <si>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</si>
  <si>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</si>
  <si>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</si>
  <si>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</si>
  <si>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</si>
  <si>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</si>
  <si>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</si>
  <si>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</si>
  <si>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</si>
  <si>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</si>
  <si>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</si>
  <si>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</si>
  <si>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</si>
  <si>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</si>
  <si>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</si>
  <si>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</si>
  <si>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</si>
  <si>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</si>
  <si>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</si>
  <si>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</si>
  <si>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</si>
  <si>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</si>
  <si>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</si>
  <si>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</si>
  <si>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</si>
  <si>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</si>
  <si>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</si>
  <si>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</si>
  <si>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</si>
  <si>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</si>
  <si>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</si>
  <si>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Geriamojo vandens tiekimo ir nuotekų tvarkymo bei paviršinių nuotekų tvarkymo paslaugų įmonių apskaitos atskyrimo ir susijusių reikalavimų aprašo 5 priedas</t>
  </si>
  <si>
    <t>Ataskaitinio laikotarpio reguliuojamos veiklos ilgalaikio turto įsigijimo ir likutinės vertės suvestinė  ataskaita  (tūkst. Eur)</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</si>
  <si>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</si>
  <si>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</si>
  <si>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</si>
  <si>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</si>
  <si>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</si>
  <si>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</si>
  <si>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</si>
  <si>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</si>
  <si>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</si>
  <si>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</si>
  <si>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r>
      <t xml:space="preserve">paviršinių nuotekų tvarkymo reguliuojamo ilgalaikio turto likutinė vertė (pagal RAS),jei yra </t>
    </r>
    <r>
      <rPr>
        <b/>
        <sz val="9"/>
        <rFont val="Times New Roman"/>
        <family val="1"/>
        <charset val="186"/>
      </rPr>
      <t xml:space="preserve">atskira </t>
    </r>
    <r>
      <rPr>
        <sz val="9"/>
        <rFont val="Times New Roman"/>
        <family val="1"/>
        <charset val="186"/>
      </rPr>
      <t>paviršinių nuotekų surinkimo sistema</t>
    </r>
  </si>
  <si>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</si>
  <si>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</si>
  <si>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</si>
  <si>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</si>
  <si>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</si>
  <si>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</si>
  <si>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</si>
  <si>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</si>
  <si>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</si>
  <si>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</si>
  <si>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</si>
  <si>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</si>
  <si>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</si>
  <si>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</si>
  <si>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</si>
  <si>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</si>
  <si>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</si>
  <si>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</si>
  <si>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</si>
  <si>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</si>
  <si>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</si>
  <si>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</si>
  <si>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</si>
  <si>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</si>
  <si>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</si>
  <si>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</si>
  <si>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</si>
  <si>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r>
      <t xml:space="preserve">paviršinių nuotekų tvarkymo reguliuojamo ilgalaikio turto įsigijimo vertė (pagal RAS), jei yra </t>
    </r>
    <r>
      <rPr>
        <b/>
        <sz val="9"/>
        <rFont val="Times New Roman"/>
        <family val="1"/>
        <charset val="186"/>
      </rPr>
      <t>atskira</t>
    </r>
    <r>
      <rPr>
        <sz val="9"/>
        <rFont val="Times New Roman"/>
        <family val="1"/>
        <charset val="186"/>
      </rPr>
      <t xml:space="preserve"> paviršinių nuotekų surinkimo sistema</t>
    </r>
  </si>
  <si>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</si>
  <si>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</si>
  <si>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</si>
  <si>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</si>
  <si>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</si>
  <si>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</si>
  <si>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Geriamojo vandens tiekimo ir nuotekų tvarkymo bei paviršinių nuotekų tvarkymo paslaugų įmonių apskaitos atskyrimo ir susijusių reikalavimų aprašo 6 priedas</t>
  </si>
  <si>
    <t>Ataskaitinio laikotarpio reguliuojamo ilgalaikio turto įsigijimo vertės (suskaičiuotos pagal Aprašo nuostatas) paskirstymo verslo vienetams ir paslaugoms ataskaita  (tūkst. Eur)</t>
  </si>
  <si>
    <t>5.1 Apskaitos veikla</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</si>
  <si>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</si>
  <si>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</si>
  <si>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</si>
  <si>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</si>
  <si>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</si>
  <si>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vandens siurbliai, nuotekų ir dumblo siurbliai virš 5 kW, kita įranga ( siurblių valdymo įranga, elektrotechninė įranga, stacionarios ir mobilios darbo bei hidrodinaminės mašinos, staklės, sklendės, grotelės, grėbliai, grandikliai, filtrai, centrifugos)</t>
  </si>
  <si>
    <t>A.4.1.</t>
  </si>
  <si>
    <t xml:space="preserve">apskaitos prietaisai </t>
  </si>
  <si>
    <t>A.4.2.</t>
  </si>
  <si>
    <t>įrankiai (matavimo priemonės, elektriniai įrankiai ir prietaisai, gamybinis inventorius ir kt.)</t>
  </si>
  <si>
    <t>KITAS ILGALAIKIS TURTAS</t>
  </si>
  <si>
    <t>A.6.2.</t>
  </si>
  <si>
    <t>A.6.3.</t>
  </si>
  <si>
    <t>TIESIOGIAI PASKIRSTOMAS ILGALAIKIS TURTAS</t>
  </si>
  <si>
    <t>B.2.3.</t>
  </si>
  <si>
    <t>B.2.4.</t>
  </si>
  <si>
    <t>B.6.2.</t>
  </si>
  <si>
    <t>B.6.3.</t>
  </si>
  <si>
    <t>Netiesioginės sąnaudos</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</si>
  <si>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</si>
  <si>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</si>
  <si>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</si>
  <si>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</si>
  <si>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</si>
  <si>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</si>
  <si>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</si>
  <si>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</si>
  <si>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</si>
  <si>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</si>
  <si>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</si>
  <si>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</si>
  <si>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</si>
  <si>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</si>
  <si>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</si>
  <si>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</si>
  <si>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</si>
  <si>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</si>
  <si>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</si>
  <si>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</si>
  <si>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</si>
  <si>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</si>
  <si>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</si>
  <si>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</si>
  <si>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</si>
  <si>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</si>
  <si>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</si>
  <si>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</si>
  <si>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Bendrosios sąnaudos</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</si>
  <si>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</si>
  <si>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</si>
  <si>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</si>
  <si>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</si>
  <si>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</si>
  <si>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</si>
  <si>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</si>
  <si>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</si>
  <si>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</si>
  <si>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</si>
  <si>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</si>
  <si>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</si>
  <si>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</si>
  <si>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</si>
  <si>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</si>
  <si>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</si>
  <si>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</si>
  <si>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</si>
  <si>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</si>
  <si>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</si>
  <si>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</si>
  <si>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</si>
  <si>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</si>
  <si>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</si>
  <si>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</si>
  <si>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</si>
  <si>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</si>
  <si>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</si>
  <si>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</si>
  <si>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</si>
  <si>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</si>
  <si>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</si>
  <si>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</si>
  <si>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</si>
  <si>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</si>
  <si>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</si>
  <si>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</si>
  <si>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</si>
  <si>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</si>
  <si>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Geriamojo vandens tiekimo ir nuotekų tvarkymo bei paviršinių nuotekų tvarkymo paslaugų įmonių apskaitos atskyrimo ir susijusių reikalavimų aprašo 7 priedas</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</si>
  <si>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</si>
  <si>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8 priedas</t>
  </si>
  <si>
    <t>Ataskaitinio laikotarpio geriamojo vandens ir nuotekų tvarkymo paslaugų realizacija</t>
  </si>
  <si>
    <t>RODIKLIAI</t>
  </si>
  <si>
    <t>Matavimo vienetai</t>
  </si>
  <si>
    <t>G E R I A M A S I S  V A N D U O</t>
  </si>
  <si>
    <t xml:space="preserve">IŠGAUTO POŽEMINIO VANDENS KIEKIS  </t>
  </si>
  <si>
    <r>
      <t>tūkst. m</t>
    </r>
    <r>
      <rPr>
        <b/>
        <vertAlign val="superscript"/>
        <sz val="10"/>
        <rFont val="Times New Roman"/>
        <family val="1"/>
        <charset val="186"/>
      </rPr>
      <t>3</t>
    </r>
  </si>
  <si>
    <t xml:space="preserve">PARUOŠTO GERIAMOJO VANDENS KIEKIS </t>
  </si>
  <si>
    <t xml:space="preserve">PATIEKTO GERIAMOJO VANDENS KIEKIS  </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</si>
  <si>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</si>
  <si>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</si>
  <si>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</si>
  <si>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</si>
  <si>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</si>
  <si>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</si>
  <si>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</si>
  <si>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</si>
  <si>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</si>
  <si>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</si>
  <si>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</si>
  <si>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</si>
  <si>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</si>
  <si>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</si>
  <si>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</si>
  <si>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</si>
  <si>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</si>
  <si>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</si>
  <si>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</si>
  <si>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</si>
  <si>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</si>
  <si>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</si>
  <si>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</si>
  <si>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</si>
  <si>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</si>
  <si>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</si>
  <si>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</si>
  <si>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</si>
  <si>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</si>
  <si>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tūkst. m3</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</si>
  <si>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</si>
  <si>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</si>
  <si>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</si>
  <si>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</si>
  <si>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</si>
  <si>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</si>
  <si>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</si>
  <si>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</si>
  <si>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</si>
  <si>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</si>
  <si>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</si>
  <si>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</si>
  <si>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</si>
  <si>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</si>
  <si>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</si>
  <si>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scheme val="minor"/>
      </rPr>
      <t>3</t>
    </r>
  </si>
  <si>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</si>
  <si>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</si>
  <si>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</si>
  <si>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</si>
  <si>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</si>
  <si>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</si>
  <si>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</si>
  <si>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</si>
  <si>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</si>
  <si>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</si>
  <si>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</si>
  <si>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</si>
  <si>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</si>
  <si>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</si>
  <si>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</si>
  <si>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</si>
  <si>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</si>
  <si>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</si>
  <si>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</si>
  <si>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</si>
  <si>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</si>
  <si>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</si>
  <si>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</si>
  <si>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</si>
  <si>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</si>
  <si>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</si>
  <si>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</si>
  <si>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</si>
  <si>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</si>
  <si>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</si>
  <si>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</si>
  <si>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</si>
  <si>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</si>
  <si>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</si>
  <si>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</si>
  <si>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</si>
  <si>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</si>
  <si>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</si>
  <si>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</si>
  <si>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</si>
  <si>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</si>
  <si>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</si>
  <si>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</si>
  <si>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</si>
  <si>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</si>
  <si>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</si>
  <si>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</si>
  <si>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</si>
  <si>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</si>
  <si>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</si>
  <si>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</si>
  <si>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</si>
  <si>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</si>
  <si>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</si>
  <si>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</si>
  <si>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</si>
  <si>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</si>
  <si>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</si>
  <si>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</si>
  <si>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</si>
  <si>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</si>
  <si>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</si>
  <si>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</si>
  <si>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</si>
  <si>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</si>
  <si>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</si>
  <si>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</si>
  <si>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</si>
  <si>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</si>
  <si>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žm.</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</si>
  <si>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</si>
  <si>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</si>
  <si>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</si>
  <si>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</si>
  <si>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</si>
  <si>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</si>
  <si>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</si>
  <si>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</si>
  <si>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</si>
  <si>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</si>
  <si>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</si>
  <si>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</si>
  <si>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</si>
  <si>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</si>
  <si>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</si>
  <si>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</si>
  <si>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</si>
  <si>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</si>
  <si>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</si>
  <si>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</si>
  <si>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</si>
  <si>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</si>
  <si>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</si>
  <si>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</si>
  <si>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</si>
  <si>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</si>
  <si>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</si>
  <si>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</si>
  <si>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</si>
  <si>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</si>
  <si>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</si>
  <si>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</si>
  <si>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</si>
  <si>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</si>
  <si>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</si>
  <si>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Geriamojo vandens tiekimo ir nuotekų tvarkymo bei paviršinių nuotekų tvarkymo paslaugų įmonių apskaitos atskyrimo ir susijusių reikalavimų aprašo 9 priedas</t>
  </si>
  <si>
    <t>Ataskaitinio laikotarpio technologiniai rodikliai</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</si>
  <si>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</si>
  <si>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</si>
  <si>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</si>
  <si>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</si>
  <si>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</si>
  <si>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</si>
  <si>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</si>
  <si>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</si>
  <si>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</si>
  <si>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</si>
  <si>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</si>
  <si>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</si>
  <si>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</si>
  <si>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</si>
  <si>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</si>
  <si>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</si>
  <si>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</si>
  <si>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</si>
  <si>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</si>
  <si>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</si>
  <si>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</si>
  <si>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</si>
  <si>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</si>
  <si>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</si>
  <si>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</si>
  <si>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</si>
  <si>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</si>
  <si>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</si>
  <si>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</si>
  <si>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</si>
  <si>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</si>
  <si>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</si>
  <si>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</si>
  <si>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</si>
  <si>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</si>
  <si>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</si>
  <si>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</si>
  <si>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</si>
  <si>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</si>
  <si>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</si>
  <si>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</si>
  <si>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</si>
  <si>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</si>
  <si>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</si>
  <si>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</si>
  <si>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</si>
  <si>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</si>
  <si>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</si>
  <si>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</si>
  <si>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</si>
  <si>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</si>
  <si>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</si>
  <si>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</si>
  <si>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</si>
  <si>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</si>
  <si>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</si>
  <si>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</si>
  <si>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</si>
  <si>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</si>
  <si>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</si>
  <si>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</si>
  <si>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</si>
  <si>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</si>
  <si>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</si>
  <si>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</si>
  <si>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</si>
  <si>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</si>
  <si>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Vidutinis svertinis vandens pakėlimo aukštis ruošime (įvertinant slėgį)</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</si>
  <si>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</si>
  <si>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</si>
  <si>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</si>
  <si>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</si>
  <si>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</si>
  <si>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</si>
  <si>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</si>
  <si>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</si>
  <si>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D.5.1.</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</si>
  <si>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</si>
  <si>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</si>
  <si>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</si>
  <si>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</si>
  <si>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</si>
  <si>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</si>
  <si>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</si>
  <si>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</si>
  <si>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</si>
  <si>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</si>
  <si>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</si>
  <si>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</si>
  <si>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</si>
  <si>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</si>
  <si>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</si>
  <si>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</si>
  <si>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</si>
  <si>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</si>
  <si>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</si>
  <si>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</si>
  <si>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</si>
  <si>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</si>
  <si>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</si>
  <si>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</si>
  <si>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</si>
  <si>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</si>
  <si>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</si>
  <si>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</si>
  <si>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</si>
  <si>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</si>
  <si>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</si>
  <si>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</si>
  <si>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</si>
  <si>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</si>
  <si>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</si>
  <si>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</si>
  <si>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</si>
  <si>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</si>
  <si>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</si>
  <si>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</si>
  <si>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</si>
  <si>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</si>
  <si>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</si>
  <si>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</si>
  <si>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</si>
  <si>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</si>
  <si>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</si>
  <si>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</si>
  <si>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</si>
  <si>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</si>
  <si>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</si>
  <si>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</si>
  <si>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</si>
  <si>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</si>
  <si>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</si>
  <si>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</si>
  <si>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</si>
  <si>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</si>
  <si>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</si>
  <si>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</si>
  <si>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</si>
  <si>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</si>
  <si>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</si>
  <si>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</si>
  <si>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</si>
  <si>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</si>
  <si>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</si>
  <si>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</si>
  <si>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</si>
  <si>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</si>
  <si>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</si>
  <si>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</si>
  <si>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</si>
  <si>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</si>
  <si>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</si>
  <si>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</si>
  <si>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</si>
  <si>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</si>
  <si>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</si>
  <si>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</si>
  <si>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</si>
  <si>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</si>
  <si>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</si>
  <si>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</si>
  <si>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</si>
  <si>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</si>
  <si>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tonos</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</si>
  <si>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</si>
  <si>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</si>
  <si>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</si>
  <si>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</si>
  <si>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</si>
  <si>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</si>
  <si>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</si>
  <si>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</si>
  <si>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</si>
  <si>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</si>
  <si>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</si>
  <si>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</si>
  <si>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</si>
  <si>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</si>
  <si>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</si>
  <si>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</si>
  <si>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</si>
  <si>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</si>
  <si>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</si>
  <si>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</si>
  <si>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</si>
  <si>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</si>
  <si>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</si>
  <si>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</si>
  <si>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</si>
  <si>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</si>
  <si>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</si>
  <si>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</si>
  <si>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</si>
  <si>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</si>
  <si>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</si>
  <si>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</si>
  <si>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</si>
  <si>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</si>
  <si>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</si>
  <si>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</si>
  <si>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</si>
  <si>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</si>
  <si>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</si>
  <si>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</si>
  <si>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</si>
  <si>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</si>
  <si>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</si>
  <si>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</si>
  <si>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</si>
  <si>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</si>
  <si>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</si>
  <si>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</si>
  <si>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</si>
  <si>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</si>
  <si>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</si>
  <si>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</si>
  <si>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</si>
  <si>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</si>
  <si>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</si>
  <si>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</si>
  <si>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</si>
  <si>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</si>
  <si>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</si>
  <si>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</si>
  <si>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</si>
  <si>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</si>
  <si>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</si>
  <si>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</si>
  <si>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</si>
  <si>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</si>
  <si>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</si>
  <si>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</si>
  <si>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</si>
  <si>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</si>
  <si>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</si>
  <si>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</si>
  <si>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</si>
  <si>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</si>
  <si>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</si>
  <si>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</si>
  <si>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</si>
  <si>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</si>
  <si>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</si>
  <si>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</si>
  <si>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</si>
  <si>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</si>
  <si>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</si>
  <si>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</si>
  <si>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</si>
  <si>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</si>
  <si>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</si>
  <si>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</si>
  <si>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</si>
  <si>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</si>
  <si>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</si>
  <si>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</si>
  <si>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</si>
  <si>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</si>
  <si>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</si>
  <si>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</si>
  <si>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</si>
  <si>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</si>
  <si>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</si>
  <si>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</si>
  <si>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</si>
  <si>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</si>
  <si>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</si>
  <si>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</si>
  <si>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</si>
  <si>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</si>
  <si>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</si>
  <si>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</si>
  <si>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</si>
  <si>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</si>
  <si>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</si>
  <si>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</si>
  <si>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</si>
  <si>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</si>
  <si>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</si>
  <si>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</si>
  <si>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</si>
  <si>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</si>
  <si>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</si>
  <si>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</si>
  <si>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</si>
  <si>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</si>
  <si>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</si>
  <si>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</si>
  <si>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</si>
  <si>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</si>
  <si>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</si>
  <si>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</si>
  <si>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</si>
  <si>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</si>
  <si>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</si>
  <si>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</si>
  <si>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</si>
  <si>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Geriamojo vandens tiekimo ir nuotekų tvarkymo bei paviršinių nuotekų tvarkymo paslaugų įmonių apskaitos atskyrimo ir susijusių reikalavimų aprašo 10 priedas</t>
  </si>
  <si>
    <t xml:space="preserve">Ataskaitinio laikotarpio personalo duomenų ataskaita </t>
  </si>
  <si>
    <t>RODIKLIS</t>
  </si>
  <si>
    <t>Pastabos</t>
  </si>
  <si>
    <t>Vidutinis sąlyginis darbuotojų skaičius</t>
  </si>
  <si>
    <t>Vidutinis sąrašinis darbuotojų skaičius</t>
  </si>
  <si>
    <t>A</t>
  </si>
  <si>
    <t xml:space="preserve">DARBUOTOJŲ SKAIČIUS ĮMONĖJE IŠ VISO </t>
  </si>
  <si>
    <t>B</t>
  </si>
  <si>
    <t xml:space="preserve">DARBUOTOJŲ SKAIČIUS REGULIUOJAMOJE VEIKLOJE </t>
  </si>
  <si>
    <t>B.1</t>
  </si>
  <si>
    <t xml:space="preserve">Tiesiogiai priskirtų reguliuojamai veiklai darbuotojų skaičius </t>
  </si>
  <si>
    <t>Geriamojo vandens tiekimo (GVT) veikloje</t>
  </si>
  <si>
    <t>B.1.1.1.</t>
  </si>
  <si>
    <t>iš šio skaičiaus:                     vandens gavyboje</t>
  </si>
  <si>
    <t>B.1.1.2.</t>
  </si>
  <si>
    <t>vandens ruošime</t>
  </si>
  <si>
    <t>B.1.1.3.</t>
  </si>
  <si>
    <t>vandens pristatyme</t>
  </si>
  <si>
    <t xml:space="preserve">Nuotekų tvarkymo (NT) veikloje
</t>
  </si>
  <si>
    <t>B.1.2.1.</t>
  </si>
  <si>
    <t>iš šio skaičiaus:    nuotekų surinkime</t>
  </si>
  <si>
    <t>B.1.2.2.</t>
  </si>
  <si>
    <t>nuotekų valyme</t>
  </si>
  <si>
    <t>B.1.2.3.</t>
  </si>
  <si>
    <t>nuotekų dumblo tvarkyme</t>
  </si>
  <si>
    <t>Paviršinių nuotekų tvarkymo veikloje*</t>
  </si>
  <si>
    <t>B.1.4.</t>
  </si>
  <si>
    <t xml:space="preserve">Apskaitos veikloje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</si>
  <si>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</si>
  <si>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</si>
  <si>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</si>
  <si>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</si>
  <si>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</si>
  <si>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</si>
  <si>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</si>
  <si>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</si>
  <si>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</si>
  <si>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</si>
  <si>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</si>
  <si>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</si>
  <si>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tūkst. Eur</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</si>
  <si>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</si>
  <si>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</si>
  <si>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</si>
  <si>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</si>
  <si>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</si>
  <si>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</si>
  <si>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</si>
  <si>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</si>
  <si>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</si>
  <si>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</si>
  <si>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</si>
  <si>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</si>
  <si>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</si>
  <si>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</si>
  <si>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</si>
  <si>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 pildyti tik esant atskirai paviršinių nuotekų tvarkymo sistemai</t>
  </si>
  <si>
    <t>Geriamojo vandens tiekimo ir nuotekų tvarkymo bei paviršinių nuotekų tvarkymo paslaugų įmonių apskaitos atskyrimo ir susijusių reikalavimų aprašo 11 priedas</t>
  </si>
  <si>
    <t>Ataskaitinio laikotarpio elektros energijos (įskaitant ir savo pasigamintą) suvartojimo ataskaita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</si>
  <si>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</si>
  <si>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</si>
  <si>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</si>
  <si>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</si>
  <si>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</si>
  <si>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A.1.1.2.</t>
  </si>
  <si>
    <t>A.1.1.3.</t>
  </si>
  <si>
    <t>A.1.1.4.</t>
  </si>
  <si>
    <t xml:space="preserve"> nuotekų surinkime</t>
  </si>
  <si>
    <t>A.1.1.5.</t>
  </si>
  <si>
    <t>A.1.1.6.</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</si>
  <si>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</si>
  <si>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</si>
  <si>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</si>
  <si>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</si>
  <si>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</si>
  <si>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</si>
  <si>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</si>
  <si>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</si>
  <si>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</si>
  <si>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</si>
  <si>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</si>
  <si>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</si>
  <si>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</si>
  <si>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</si>
  <si>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</si>
  <si>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</si>
  <si>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</si>
  <si>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</si>
  <si>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</si>
  <si>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</si>
  <si>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color theme="1"/>
        <rFont val="Times New Roman"/>
        <family val="1"/>
        <charset val="186"/>
      </rPr>
      <t>2</t>
    </r>
    <r>
      <rPr>
        <b/>
        <sz val="10"/>
        <color theme="1"/>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</si>
  <si>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</si>
  <si>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</si>
  <si>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</si>
  <si>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</si>
  <si>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</si>
  <si>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vandens pristatyme (įvertinant slėgį)</t>
  </si>
  <si>
    <t>F.1.1.3.</t>
  </si>
  <si>
    <t xml:space="preserve">Patiekto geriamojo vandens kiekis  </t>
  </si>
  <si>
    <r>
      <t>tūkst. m</t>
    </r>
    <r>
      <rPr>
        <b/>
        <i/>
        <vertAlign val="superscript"/>
        <sz val="10"/>
        <rFont val="Times New Roman"/>
        <family val="1"/>
        <charset val="186"/>
      </rPr>
      <t>3</t>
    </r>
  </si>
  <si>
    <t>8 priedas</t>
  </si>
  <si>
    <t>F.1.2.</t>
  </si>
  <si>
    <t>Elektros energijos suvartojimas vandens ruošimo veikloje</t>
  </si>
  <si>
    <t>kWh/m³</t>
  </si>
  <si>
    <t>F.1.2.1.</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</si>
  <si>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</si>
  <si>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</si>
  <si>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</si>
  <si>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</si>
  <si>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</si>
  <si>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</si>
  <si>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</si>
  <si>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</si>
  <si>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</si>
  <si>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</si>
  <si>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r>
      <t>tūkst. m</t>
    </r>
    <r>
      <rPr>
        <b/>
        <i/>
        <vertAlign val="superscript"/>
        <sz val="10"/>
        <color theme="1"/>
        <rFont val="Times New Roman"/>
        <family val="1"/>
        <charset val="186"/>
      </rPr>
      <t>3</t>
    </r>
  </si>
  <si>
    <t>F.1.4.</t>
  </si>
  <si>
    <t>Elektros energijos suvartojimas nuotekoms valyti</t>
  </si>
  <si>
    <t>kWh/tona</t>
  </si>
  <si>
    <t>F.1.4.1.</t>
  </si>
  <si>
    <t>Pašalinta teršalų iš išvalytų atitekančių nuotekų (BDS7)</t>
  </si>
  <si>
    <t>F.1.5.</t>
  </si>
  <si>
    <t>Elektros energijos vidutinė kaina reguliuojamoje veikloje</t>
  </si>
  <si>
    <t>Eur/kWh</t>
  </si>
  <si>
    <t>F.1.5.1.</t>
  </si>
  <si>
    <t>Elektros energijos sąnaudos reguliuojamoje veikloje</t>
  </si>
  <si>
    <t>Ūkio subjektas: UAB „Biržų vandenys“</t>
  </si>
  <si>
    <t>C.1.  Punktui Tiesiogiai paslaugoms priskirto naudojamo turto buhalterinė įsigijimo vertė</t>
  </si>
  <si>
    <t>C1.Elektros energija įrenginiams</t>
  </si>
  <si>
    <t>C2.Elektros energija patalpų eksploatacijai</t>
  </si>
  <si>
    <t>C.2.  Punktui  Tiesiogiai paslaugoms priskirto naudojamo turto buhalterinė įsigijimo vertė</t>
  </si>
  <si>
    <t>E1.Kuras mašinoms ir gamybiniam transportui</t>
  </si>
  <si>
    <t>E2.Kuras lengviesiams automobiliams</t>
  </si>
  <si>
    <t>C.3.  Punktui  Tiesiogiai paslaugoms priskirto naudojamo turto buhalterinė įsigijimo vertė</t>
  </si>
  <si>
    <t>C3.Šilumos energija</t>
  </si>
  <si>
    <t>C.4.  Punktui  Tiesiogiai paslaugoms priskirto naudojamo turto buhalterinė įsigijimo vertė</t>
  </si>
  <si>
    <t>A3.Eksploatacinės medžiagos ir remontas</t>
  </si>
  <si>
    <t>A4.Remonto ir aptarnavimo paslaugų pirkimo sąnaudos</t>
  </si>
  <si>
    <t>A5.Metrologinės patikros sąnaudos</t>
  </si>
  <si>
    <t>A6.Avarijų šalinimo sąnaudos</t>
  </si>
  <si>
    <t xml:space="preserve">A7.Kitos techninio aptarnavimo ir patikros paslaugos </t>
  </si>
  <si>
    <t>A1.Ilgalaikio turto nusidėvėjimas</t>
  </si>
  <si>
    <t>C.5.  Punktui Tiesiogiai paslaugoms priskirto naudojamo turto buhalterinė įsigijimo vertė</t>
  </si>
  <si>
    <t>C.6.  Punktui Tiesiogiai paslaugoms priskirto naudojamo turto buhalterinė įsigijimo vertė</t>
  </si>
  <si>
    <t>B1.Darbo užmokestis</t>
  </si>
  <si>
    <t>B2.Soc. draudimas</t>
  </si>
  <si>
    <t>B3.Darbo saugos priemonės</t>
  </si>
  <si>
    <t>B5.Kitos personalo sąnaudos</t>
  </si>
  <si>
    <t>C.7.  Punktui Tiesiogiai paslaugoms priskirto naudojamo turto buhalterinė įsigijimo vertė</t>
  </si>
  <si>
    <t>L3.Nekilnojamo turto mokesčai</t>
  </si>
  <si>
    <t>L4.Žemės nuomos mokesčiai</t>
  </si>
  <si>
    <t>L6.Kiti mokesčiai</t>
  </si>
  <si>
    <t>C.8.  Punktui Tiesiogiai paslaugoms priskirto naudojamo turto buhalterinė įsigijimo vertė</t>
  </si>
  <si>
    <t>I1.Bankų paslaugos</t>
  </si>
  <si>
    <t xml:space="preserve">K12.Kitos finansinės sąnaudos			</t>
  </si>
  <si>
    <t>C.9.  Punktui Tiesiogiai paslaugoms priskirto naudojamo turto buhalterinė įsigijimo vertė</t>
  </si>
  <si>
    <t>I3.Teisinės paslaugos</t>
  </si>
  <si>
    <t xml:space="preserve">K8.Žyminio mokesčio sąnaudos			</t>
  </si>
  <si>
    <t>I9.Konsultacinės paslaugos</t>
  </si>
  <si>
    <t>I2.Telekomunikacijos paslaugos</t>
  </si>
  <si>
    <t>K6.Pašto, pasiuntinių paslaugų sąnaudos</t>
  </si>
  <si>
    <t>K1.Kanceliarinės sąnaudos</t>
  </si>
  <si>
    <t xml:space="preserve">I7.Org. inventoriaus aptarnavimo sąnaudos		</t>
  </si>
  <si>
    <t xml:space="preserve">K7.Profesinės literatūros, spaudos sąnaudos			</t>
  </si>
  <si>
    <t>I6.Patalpų priežiūros paslaugų pirkimo sąnaudos</t>
  </si>
  <si>
    <t>I10.Apskaitos ir audito paslaugų pirkimo sąnaudos</t>
  </si>
  <si>
    <t>F1.Transporto paslaugų pirkimo sąnaudos</t>
  </si>
  <si>
    <t>I4.Gyventojų įmokų administravimas</t>
  </si>
  <si>
    <t>K3.Vartotojų informavimo paslaugų pirkimo sąnaudos</t>
  </si>
  <si>
    <t>K5.Administracinės ir kitos sąnaudos</t>
  </si>
  <si>
    <t>K4.Rinkodaros ir pardavimų sąnaudos</t>
  </si>
  <si>
    <t>C.10.  Punktui Tiesiogiai paslaugoms priskirto naudojamo turto buhalterinė įsigijimo vertė</t>
  </si>
  <si>
    <t xml:space="preserve">K10.Kitos pastovios sąnaudos			</t>
  </si>
  <si>
    <t>C.11.  Punktui Tiesiogiai paslaugoms priskirto naudojamo turto buhalterinė įsigijimo vertė</t>
  </si>
  <si>
    <t>I.1.standartinė programinė įranga</t>
  </si>
  <si>
    <t>C.1.1  Punktui Tiesiogiai paslaugoms priskirto naudojamo turto buhalterinė įsigijimo vertė</t>
  </si>
  <si>
    <t>I.1.spec. programinė įranga</t>
  </si>
  <si>
    <t>C.1.2.  Punktui Tiesiogiai paslaugoms priskirto naudojamo turto buhalterinė įsigijimo vertė</t>
  </si>
  <si>
    <t>I.1.kitas nematerialus turtas</t>
  </si>
  <si>
    <t>C.1.3.  Punktui Tiesiogiai paslaugoms priskirto naudojamo turto buhalterinė įsigijimo vertė</t>
  </si>
  <si>
    <t>II.2.1.Pastatai</t>
  </si>
  <si>
    <t>C.2.1  Punktui Tiesiogiai paslaugoms priskirto naudojamo turto buhalterinė įsigijimo vertė</t>
  </si>
  <si>
    <t xml:space="preserve">II.2.2.keliai, šaligatviai ir tvoros </t>
  </si>
  <si>
    <t>C.2.2. Punktui Tiesiogiai paslaugoms priskirto naudojamo turto buhalterinė įsigijimo vertė</t>
  </si>
  <si>
    <t>II.2.3.vamzdynai</t>
  </si>
  <si>
    <t>C.2.3  Punktui Tiesiogiai paslaugoms priskirto naudojamo turto buhalterinė įsigijimo vertė</t>
  </si>
  <si>
    <t>II.2.4.Kiti įrenginiai</t>
  </si>
  <si>
    <t>C.2.4  Punktui Tiesiogiai paslaugoms priskirto naudojamo turto buhalterinė įsigijimo vertė</t>
  </si>
  <si>
    <t>II.3.1.vandens siurbliai, nuotekų ir dumblo siurbliai virš 5 kW, kita įranga</t>
  </si>
  <si>
    <t>C.3.1.  Punktui Tiesiogiai paslaugoms priskirto naudojamo turto buhalterinė įsigijimo vertė</t>
  </si>
  <si>
    <t>II.3.2.nuotekų ir dumblo siurbliai iki 5 kW</t>
  </si>
  <si>
    <t>C.3.2.  Punktui Tiesiogiai paslaugoms priskirto naudojamo turto buhalterinė įsigijimo vertė</t>
  </si>
  <si>
    <t>II.4.1. apskaitos prietaisai</t>
  </si>
  <si>
    <t>C.4.1  Punktui Tiesiogiai paslaugoms priskirto naudojamo turto buhalterinė įsigijimo vertė</t>
  </si>
  <si>
    <t>II.4.2. įrankiai</t>
  </si>
  <si>
    <t>C.4.2  Punktui Tiesiogiai paslaugoms priskirto naudojamo turto buhalterinė įsigijimo vertė</t>
  </si>
  <si>
    <t>II.5.1.lengvieji automobiliai</t>
  </si>
  <si>
    <t>C.5.1  Punktui Tiesiogiai paslaugoms priskirto naudojamo turto buhalterinė įsigijimo vertė</t>
  </si>
  <si>
    <t>II.5.2.kitos transporto priemonės</t>
  </si>
  <si>
    <t>C.5.2.  Punktui Tiesiogiai paslaugoms priskirto naudojamo turto buhalterinė įsigijimo vertė</t>
  </si>
  <si>
    <t xml:space="preserve">II.6.1. </t>
  </si>
  <si>
    <t>C.6.1.  Punktui Tiesiogiai paslaugoms priskirto naudojamo turto buhalterinė įsigijimo vertė</t>
  </si>
  <si>
    <t xml:space="preserve">II.6.2. </t>
  </si>
  <si>
    <t>C.6.2.  Punktui Tiesiogiai paslaugoms priskirto naudojamo turto buhalterinė įsigijimo vertė</t>
  </si>
  <si>
    <t xml:space="preserve">II.6.3. </t>
  </si>
  <si>
    <t>C.6.3.  Punktui Tiesiogiai paslaugoms priskirto naudojamo turto buhalterinė įsigijimo vertė</t>
  </si>
  <si>
    <t>II.Gavyba</t>
  </si>
  <si>
    <t>II.Ruošimas</t>
  </si>
  <si>
    <t>II.Pristatymas</t>
  </si>
  <si>
    <t>III.Surinkimas</t>
  </si>
  <si>
    <t>III.Valymas</t>
  </si>
  <si>
    <t>III.Dumblas</t>
  </si>
  <si>
    <t>III.Pav.nuotekos</t>
  </si>
  <si>
    <t>I.Apskaitos veikla</t>
  </si>
  <si>
    <t>IV.Kita_reguliuojama</t>
  </si>
  <si>
    <t>V.Nereguliuojama</t>
  </si>
  <si>
    <t/>
  </si>
  <si>
    <t>II.2.2.1.keliai</t>
  </si>
  <si>
    <t>II.2.2.2.aikštelės</t>
  </si>
  <si>
    <t>II.2.2.3.šaligatviai</t>
  </si>
  <si>
    <t xml:space="preserve">II.2.2.4.tvoros </t>
  </si>
  <si>
    <t>Ataskaitinis laikotarpis: 2022-01-01 - 2022-12-31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</si>
</sst>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_);_(* \(#,##0\);_(* &quot;-&quot;_);_(@_)"/>
    <numFmt numFmtId="165" formatCode="_-* #,##0.00\ _€_-;\-* #,##0.00\ _€_-;_-* &quot;-&quot;??\ _€_-;_-@_-"/>
    <numFmt numFmtId="166" formatCode="0.00000"/>
    <numFmt numFmtId="167" formatCode="#,##0.00000"/>
    <numFmt numFmtId="168" formatCode="#,##0.000"/>
    <numFmt numFmtId="169" formatCode="#,##0.000000"/>
    <numFmt numFmtId="170" formatCode="#,##0.0000000"/>
    <numFmt numFmtId="171" formatCode="#,##0.0000"/>
    <numFmt numFmtId="172" formatCode="0.000"/>
    <numFmt numFmtId="173" formatCode="#,##0.0"/>
    <numFmt numFmtId="174" formatCode="_-* #,##0.00\ _L_t_-;\-* #,##0.00\ _L_t_-;_-* &quot;-&quot;??\ _L_t_-;_-@_-"/>
    <numFmt numFmtId="175" formatCode="0.0"/>
    <numFmt numFmtId="176" formatCode="0.0%"/>
    <numFmt numFmtId="177" formatCode="#,##0.00000000"/>
    <numFmt numFmtId="178" formatCode="#,##0.0000000000"/>
    <numFmt numFmtId="179" formatCode="0.000000"/>
    <numFmt numFmtId="180" formatCode="#,##0.000000000"/>
    <numFmt numFmtId="181" formatCode="#,##0.000000000000000000"/>
    <numFmt numFmtId="182" formatCode="0.00000000"/>
  </numFmts>
  <fonts count="62">
    <font>
      <sz val="11"/>
      <color theme="1"/>
      <name val="Calibri"/>
      <family val="2"/>
      <charset val="186"/>
      <scheme val="minor"/>
    </font>
    <font>
      <sz val="11"/>
      <color theme="1"/>
      <name val="Calibri"/>
      <family val="2"/>
      <charset val="186"/>
      <scheme val="minor"/>
    </font>
    <font>
      <b/>
      <sz val="11"/>
      <color theme="0"/>
      <name val="Calibri"/>
      <family val="2"/>
      <charset val="186"/>
      <scheme val="minor"/>
    </font>
    <font>
      <sz val="11"/>
      <color theme="0"/>
      <name val="Calibri"/>
      <family val="2"/>
      <charset val="186"/>
      <scheme val="minor"/>
    </font>
    <font>
      <sz val="9"/>
      <color theme="1"/>
      <name val="Times New Roman"/>
      <family val="1"/>
      <charset val="186"/>
    </font>
    <font>
      <b/>
      <sz val="12"/>
      <color theme="1"/>
      <name val="Times New Roman"/>
      <family val="1"/>
      <charset val="186"/>
    </font>
    <font>
      <sz val="12"/>
      <name val="Times New Roman"/>
      <family val="1"/>
      <charset val="186"/>
    </font>
    <font>
      <b/>
      <sz val="10"/>
      <color theme="1"/>
      <name val="Times New Roman"/>
      <family val="1"/>
    </font>
    <font>
      <sz val="10"/>
      <color theme="1"/>
      <name val="Times New Roman"/>
      <family val="1"/>
    </font>
    <font>
      <strike/>
      <sz val="10"/>
      <color theme="1"/>
      <name val="Times New Roman"/>
      <family val="1"/>
    </font>
    <font>
      <sz val="10"/>
      <name val="Times New Roman"/>
      <family val="1"/>
    </font>
    <font>
      <sz val="10"/>
      <color theme="1"/>
      <name val="Times New Roman"/>
      <family val="1"/>
      <charset val="186"/>
    </font>
    <font>
      <sz val="11"/>
      <color theme="1"/>
      <name val="Times New Roman"/>
      <family val="1"/>
      <charset val="186"/>
    </font>
    <font>
      <sz val="11"/>
      <name val="Calibri"/>
      <family val="2"/>
      <scheme val="minor"/>
    </font>
    <font>
      <sz val="11"/>
      <name val="Times New Roman"/>
      <family val="1"/>
      <charset val="186"/>
    </font>
    <font>
      <b/>
      <sz val="12"/>
      <name val="Times New Roman"/>
      <family val="1"/>
      <charset val="186"/>
    </font>
    <font>
      <b/>
      <sz val="10"/>
      <name val="Times New Roman"/>
      <family val="1"/>
      <charset val="186"/>
    </font>
    <font>
      <sz val="10"/>
      <name val="Times New Roman"/>
      <family val="1"/>
      <charset val="186"/>
    </font>
    <font>
      <b/>
      <sz val="10"/>
      <color theme="1"/>
      <name val="Calibri"/>
      <family val="2"/>
      <charset val="186"/>
      <scheme val="minor"/>
    </font>
    <font>
      <b/>
      <sz val="10"/>
      <name val="Times New Roman Baltic"/>
      <charset val="186"/>
    </font>
    <font>
      <b/>
      <sz val="11"/>
      <name val="Times New Roman"/>
      <family val="1"/>
      <charset val="186"/>
    </font>
    <font>
      <b/>
      <sz val="10"/>
      <name val="TimesLT"/>
      <charset val="186"/>
    </font>
    <font>
      <b/>
      <sz val="10"/>
      <color theme="1"/>
      <name val="Times New Roman"/>
      <family val="1"/>
      <charset val="186"/>
    </font>
    <font>
      <b/>
      <sz val="11"/>
      <color theme="1"/>
      <name val="Times New Roman"/>
      <family val="1"/>
      <charset val="186"/>
    </font>
    <font>
      <b/>
      <sz val="11"/>
      <name val="Times New Roman Baltic"/>
      <charset val="186"/>
    </font>
    <font>
      <b/>
      <sz val="9"/>
      <name val="Times New Roman"/>
      <family val="1"/>
      <charset val="186"/>
    </font>
    <font>
      <sz val="9"/>
      <name val="Times New Roman"/>
      <family val="1"/>
      <charset val="186"/>
    </font>
    <font>
      <i/>
      <sz val="9"/>
      <name val="Times New Roman"/>
      <family val="1"/>
      <charset val="186"/>
    </font>
    <font>
      <b/>
      <i/>
      <sz val="9"/>
      <name val="Times New Roman"/>
      <family val="1"/>
      <charset val="186"/>
    </font>
    <font>
      <i/>
      <sz val="11"/>
      <name val="Times New Roman"/>
      <family val="1"/>
      <charset val="186"/>
    </font>
    <font>
      <i/>
      <sz val="10"/>
      <name val="Times New Roman"/>
      <family val="1"/>
      <charset val="186"/>
    </font>
    <font>
      <sz val="10"/>
      <color rgb="FFFF0000"/>
      <name val="Times New Roman"/>
      <family val="1"/>
      <charset val="186"/>
    </font>
    <font>
      <sz val="11"/>
      <color rgb="FF0000FF"/>
      <name val="Times New Roman"/>
      <family val="1"/>
      <charset val="186"/>
    </font>
    <font>
      <b/>
      <sz val="9"/>
      <color theme="1"/>
      <name val="Times New Roman"/>
      <family val="1"/>
      <charset val="186"/>
    </font>
    <font>
      <sz val="9"/>
      <color rgb="FF0000FF"/>
      <name val="Times New Roman"/>
      <family val="1"/>
      <charset val="186"/>
    </font>
    <font>
      <sz val="10"/>
      <color rgb="FF0000FF"/>
      <name val="Times New Roman"/>
      <family val="1"/>
      <charset val="186"/>
    </font>
    <font>
      <sz val="11"/>
      <name val="Calibri"/>
      <family val="2"/>
      <charset val="186"/>
      <scheme val="minor"/>
    </font>
    <font>
      <i/>
      <sz val="10"/>
      <color theme="1"/>
      <name val="Times New Roman"/>
      <family val="1"/>
      <charset val="186"/>
    </font>
    <font>
      <i/>
      <sz val="11"/>
      <color theme="0"/>
      <name val="Calibri"/>
      <family val="2"/>
      <charset val="186"/>
      <scheme val="minor"/>
    </font>
    <font>
      <b/>
      <i/>
      <sz val="10"/>
      <color theme="1"/>
      <name val="Times New Roman"/>
      <family val="1"/>
      <charset val="186"/>
    </font>
    <font>
      <i/>
      <sz val="10"/>
      <color theme="8" tint="-0.249977111117893"/>
      <name val="Times New Roman"/>
      <family val="1"/>
      <charset val="186"/>
    </font>
    <font>
      <i/>
      <sz val="11"/>
      <color theme="1"/>
      <name val="Times New Roman"/>
      <family val="1"/>
      <charset val="186"/>
    </font>
    <font>
      <sz val="11"/>
      <color theme="0"/>
      <name val="Times New Roman"/>
      <family val="1"/>
      <charset val="186"/>
    </font>
    <font>
      <sz val="9"/>
      <color indexed="81"/>
      <name val="Tahoma"/>
      <family val="2"/>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scheme val="minor"/>
    </font>
    <font>
      <sz val="10"/>
      <name val="Arial"/>
      <family val="2"/>
    </font>
    <font>
      <i/>
      <sz val="10"/>
      <name val="Times New Roman"/>
      <family val="1"/>
    </font>
    <font>
      <sz val="10"/>
      <name val="Calibri"/>
      <family val="2"/>
      <scheme val="minor"/>
    </font>
    <font>
      <vertAlign val="subscript"/>
      <sz val="10"/>
      <name val="Times New Roman"/>
      <family val="1"/>
      <charset val="186"/>
    </font>
    <font>
      <b/>
      <vertAlign val="subscript"/>
      <sz val="10"/>
      <name val="Times New Roman"/>
      <family val="1"/>
      <charset val="186"/>
    </font>
    <font>
      <b/>
      <i/>
      <sz val="10"/>
      <name val="Times New Roman"/>
      <family val="1"/>
      <charset val="186"/>
    </font>
    <font>
      <b/>
      <sz val="10"/>
      <color indexed="59"/>
      <name val="Times New Roman"/>
      <family val="1"/>
      <charset val="186"/>
    </font>
    <font>
      <b/>
      <sz val="8"/>
      <name val="Arial"/>
      <family val="2"/>
      <charset val="186"/>
    </font>
    <font>
      <sz val="11"/>
      <color theme="1"/>
      <name val="Calibri"/>
      <family val="2"/>
      <scheme val="minor"/>
    </font>
    <font>
      <b/>
      <vertAlign val="subscript"/>
      <sz val="10"/>
      <color theme="1"/>
      <name val="Times New Roman"/>
      <family val="1"/>
      <charset val="186"/>
    </font>
    <font>
      <b/>
      <i/>
      <vertAlign val="subscript"/>
      <sz val="10"/>
      <name val="Times New Roman"/>
      <family val="1"/>
      <charset val="186"/>
    </font>
    <font>
      <b/>
      <i/>
      <vertAlign val="superscript"/>
      <sz val="10"/>
      <name val="Times New Roman"/>
      <family val="1"/>
      <charset val="186"/>
    </font>
    <font>
      <b/>
      <i/>
      <vertAlign val="superscript"/>
      <sz val="10"/>
      <color theme="1"/>
      <name val="Times New Roman"/>
      <family val="1"/>
      <charset val="186"/>
    </font>
    <font>
      <b/>
      <sz val="9"/>
      <color indexed="81"/>
      <name val="Tahoma"/>
      <family val="2"/>
      <charset val="186"/>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2" tint="-9.9978637043366805E-2"/>
        <bgColor indexed="64"/>
      </patternFill>
    </fill>
  </fills>
  <borders count="1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top/>
      <bottom/>
      <diagonal/>
    </border>
    <border>
      <left style="double">
        <color indexed="64"/>
      </left>
      <right/>
      <top/>
      <bottom/>
      <diagonal/>
    </border>
    <border>
      <left style="thin">
        <color indexed="64"/>
      </left>
      <right style="medium">
        <color indexed="64"/>
      </right>
      <top/>
      <bottom/>
      <diagonal/>
    </border>
    <border>
      <left style="double">
        <color indexed="64"/>
      </left>
      <right style="medium">
        <color indexed="64"/>
      </right>
      <top/>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auto="1"/>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6" fillId="0" borderId="0"/>
    <xf numFmtId="0" fontId="13" fillId="0" borderId="0"/>
    <xf numFmtId="165" fontId="1" fillId="0" borderId="0" applyFont="0" applyFill="0" applyBorder="0" applyAlignment="0" applyProtection="0"/>
    <xf numFmtId="174" fontId="1" fillId="0" borderId="0" applyFont="0" applyFill="0" applyBorder="0" applyAlignment="0" applyProtection="0"/>
    <xf numFmtId="0" fontId="48" fillId="0" borderId="0"/>
    <xf numFmtId="0" fontId="56" fillId="0" borderId="0"/>
  </cellStyleXfs>
  <cellXfs count="1340">
    <xf numFmtId="0" fontId="0" fillId="0" borderId="0" xfId="0"/>
    <xf numFmtId="0" fontId="4" fillId="0" borderId="0" xfId="0" applyFont="1" applyAlignment="1">
      <alignment horizontal="center" vertical="center" wrapText="1"/>
    </xf>
    <xf numFmtId="0" fontId="5" fillId="0" borderId="0" xfId="0" applyFont="1" applyAlignment="1" applyProtection="1">
      <alignment vertical="center" wrapText="1"/>
      <protection hidden="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8" fillId="2" borderId="2" xfId="1" applyFont="1" applyFill="1" applyBorder="1" applyAlignment="1">
      <alignment horizontal="center" vertical="center"/>
    </xf>
    <xf numFmtId="0" fontId="7" fillId="2" borderId="2" xfId="1" applyFont="1" applyFill="1" applyBorder="1" applyAlignment="1">
      <alignment horizontal="left" vertical="center" wrapText="1"/>
    </xf>
    <xf numFmtId="0" fontId="9" fillId="2" borderId="2" xfId="1" applyFont="1" applyFill="1" applyBorder="1" applyAlignment="1">
      <alignment horizontal="center" vertical="center"/>
    </xf>
    <xf numFmtId="0" fontId="8" fillId="2" borderId="2" xfId="1" applyFont="1" applyFill="1" applyBorder="1" applyAlignment="1">
      <alignment horizontal="left" vertical="center" wrapText="1"/>
    </xf>
    <xf numFmtId="49" fontId="8" fillId="2" borderId="2"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3" xfId="1" applyFont="1" applyFill="1" applyBorder="1" applyAlignment="1">
      <alignment horizontal="left" vertical="center" wrapText="1"/>
    </xf>
    <xf numFmtId="0" fontId="8" fillId="2" borderId="4" xfId="1" applyFont="1" applyFill="1" applyBorder="1" applyAlignment="1">
      <alignment horizontal="center" vertical="center"/>
    </xf>
    <xf numFmtId="0" fontId="7" fillId="2" borderId="4" xfId="1" applyFont="1" applyFill="1" applyBorder="1" applyAlignment="1">
      <alignment horizontal="left" vertical="center" wrapText="1"/>
    </xf>
    <xf numFmtId="0" fontId="8" fillId="2" borderId="5" xfId="1" applyFont="1" applyFill="1" applyBorder="1" applyAlignment="1">
      <alignment horizontal="center" vertical="center"/>
    </xf>
    <xf numFmtId="0" fontId="8" fillId="2" borderId="5" xfId="1" applyFont="1" applyFill="1" applyBorder="1" applyAlignment="1">
      <alignment horizontal="left" vertical="center" wrapText="1"/>
    </xf>
    <xf numFmtId="0" fontId="10" fillId="2" borderId="2" xfId="1" applyFont="1" applyFill="1" applyBorder="1" applyAlignment="1">
      <alignment horizontal="center" vertical="center"/>
    </xf>
    <xf numFmtId="2" fontId="10" fillId="2" borderId="2" xfId="1" applyNumberFormat="1" applyFont="1" applyFill="1" applyBorder="1" applyAlignment="1">
      <alignment horizontal="left" vertical="center" wrapText="1"/>
    </xf>
    <xf numFmtId="2" fontId="8" fillId="2" borderId="2" xfId="1" applyNumberFormat="1" applyFont="1" applyFill="1" applyBorder="1" applyAlignment="1">
      <alignment horizontal="left" vertical="center" wrapText="1"/>
    </xf>
    <xf numFmtId="2" fontId="8" fillId="2" borderId="3" xfId="1" applyNumberFormat="1" applyFont="1" applyFill="1" applyBorder="1" applyAlignment="1">
      <alignment horizontal="left" vertical="center" wrapText="1"/>
    </xf>
    <xf numFmtId="0" fontId="8" fillId="2" borderId="6" xfId="1" applyFont="1" applyFill="1" applyBorder="1" applyAlignment="1">
      <alignment horizontal="center" vertical="center"/>
    </xf>
    <xf numFmtId="2" fontId="8" fillId="2" borderId="6" xfId="1" applyNumberFormat="1" applyFont="1" applyFill="1" applyBorder="1" applyAlignment="1">
      <alignment horizontal="left" vertical="center" wrapText="1"/>
    </xf>
    <xf numFmtId="0" fontId="8" fillId="2" borderId="3" xfId="1" applyFont="1" applyFill="1" applyBorder="1" applyAlignment="1">
      <alignment horizontal="center" vertical="center" wrapText="1"/>
    </xf>
    <xf numFmtId="0" fontId="9" fillId="2" borderId="4" xfId="1" applyFont="1" applyFill="1" applyBorder="1" applyAlignment="1">
      <alignment horizontal="center" vertical="center"/>
    </xf>
    <xf numFmtId="0" fontId="8" fillId="2" borderId="6" xfId="1" applyFont="1" applyFill="1" applyBorder="1" applyAlignment="1">
      <alignment horizontal="left" vertical="center" wrapText="1"/>
    </xf>
    <xf numFmtId="0" fontId="11" fillId="0" borderId="0" xfId="0" applyFont="1"/>
    <xf numFmtId="0" fontId="12" fillId="0" borderId="0" xfId="0" applyFont="1"/>
    <xf numFmtId="0" fontId="8" fillId="0" borderId="0" xfId="1" applyFont="1" applyAlignment="1">
      <alignment horizontal="left" vertical="center" wrapText="1"/>
    </xf>
    <xf numFmtId="0" fontId="14" fillId="0" borderId="0" xfId="2" applyFont="1"/>
    <xf numFmtId="0" fontId="15" fillId="0" borderId="0" xfId="0" applyFont="1" applyAlignment="1" applyProtection="1">
      <alignment vertical="center"/>
      <protection hidden="1"/>
    </xf>
    <xf numFmtId="0" fontId="16" fillId="2" borderId="1" xfId="0" applyFont="1" applyFill="1" applyBorder="1" applyAlignment="1" applyProtection="1">
      <alignment horizontal="center" vertical="center" wrapText="1"/>
      <protection locked="0"/>
    </xf>
    <xf numFmtId="164" fontId="16"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164" fontId="18" fillId="2" borderId="1" xfId="0" applyNumberFormat="1" applyFont="1" applyFill="1" applyBorder="1" applyAlignment="1">
      <alignment vertical="center" wrapText="1"/>
    </xf>
    <xf numFmtId="0" fontId="16" fillId="2" borderId="5" xfId="0" applyFont="1" applyFill="1" applyBorder="1" applyAlignment="1" applyProtection="1">
      <alignment horizontal="center" vertical="center" wrapText="1"/>
      <protection locked="0"/>
    </xf>
    <xf numFmtId="2" fontId="19" fillId="0" borderId="7" xfId="3" applyNumberFormat="1" applyFont="1" applyBorder="1" applyAlignment="1" applyProtection="1">
      <alignment wrapText="1"/>
      <protection locked="0"/>
    </xf>
    <xf numFmtId="0" fontId="16" fillId="2" borderId="2" xfId="0" applyFont="1" applyFill="1" applyBorder="1" applyAlignment="1" applyProtection="1">
      <alignment horizontal="center" vertical="center" wrapText="1"/>
      <protection locked="0"/>
    </xf>
    <xf numFmtId="2" fontId="19" fillId="0" borderId="8" xfId="3" applyNumberFormat="1" applyFont="1" applyBorder="1" applyAlignment="1" applyProtection="1">
      <alignment wrapText="1"/>
      <protection locked="0"/>
    </xf>
    <xf numFmtId="0" fontId="16" fillId="2" borderId="3" xfId="0" applyFont="1" applyFill="1" applyBorder="1" applyAlignment="1" applyProtection="1">
      <alignment horizontal="center" vertical="center" wrapText="1"/>
      <protection locked="0"/>
    </xf>
    <xf numFmtId="2" fontId="19" fillId="0" borderId="3" xfId="3" applyNumberFormat="1" applyFont="1" applyBorder="1" applyAlignment="1" applyProtection="1">
      <alignment wrapText="1"/>
      <protection locked="0"/>
    </xf>
    <xf numFmtId="0" fontId="20" fillId="2" borderId="9" xfId="0" applyFont="1" applyFill="1" applyBorder="1" applyAlignment="1" applyProtection="1">
      <alignment horizontal="center" vertical="center" wrapText="1"/>
      <protection locked="0"/>
    </xf>
    <xf numFmtId="4" fontId="20" fillId="2" borderId="9" xfId="3" applyNumberFormat="1" applyFont="1" applyFill="1" applyBorder="1" applyAlignment="1" applyProtection="1">
      <alignment wrapText="1"/>
      <protection locked="0"/>
    </xf>
    <xf numFmtId="2" fontId="21" fillId="2" borderId="1" xfId="0" applyNumberFormat="1" applyFont="1" applyFill="1" applyBorder="1" applyAlignment="1">
      <alignment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2" fontId="19" fillId="0" borderId="10" xfId="3" applyNumberFormat="1" applyFont="1" applyBorder="1" applyAlignment="1" applyProtection="1">
      <alignment wrapText="1"/>
      <protection locked="0"/>
    </xf>
    <xf numFmtId="0" fontId="23" fillId="2" borderId="9" xfId="0" applyFont="1" applyFill="1" applyBorder="1" applyAlignment="1">
      <alignment horizontal="center" vertical="center" wrapText="1"/>
    </xf>
    <xf numFmtId="2" fontId="24" fillId="2" borderId="9" xfId="3" applyNumberFormat="1" applyFont="1" applyFill="1" applyBorder="1" applyAlignment="1" applyProtection="1">
      <alignment wrapText="1"/>
      <protection locked="0"/>
    </xf>
    <xf numFmtId="0" fontId="17" fillId="0" borderId="0" xfId="2" applyFont="1"/>
    <xf numFmtId="0" fontId="15" fillId="0" borderId="0" xfId="2" applyFont="1"/>
    <xf numFmtId="0" fontId="25" fillId="2" borderId="11" xfId="2" applyFont="1" applyFill="1" applyBorder="1" applyAlignment="1">
      <alignment horizontal="center" vertical="center"/>
    </xf>
    <xf numFmtId="0" fontId="25" fillId="2" borderId="12" xfId="2" applyFont="1" applyFill="1" applyBorder="1" applyAlignment="1">
      <alignment horizontal="center" vertical="center"/>
    </xf>
    <xf numFmtId="3" fontId="16" fillId="2" borderId="12" xfId="2" applyNumberFormat="1" applyFont="1" applyFill="1" applyBorder="1" applyAlignment="1" applyProtection="1">
      <alignment horizontal="center" vertical="center"/>
      <protection locked="0"/>
    </xf>
    <xf numFmtId="0" fontId="16" fillId="2" borderId="13" xfId="2" applyFont="1" applyFill="1" applyBorder="1" applyAlignment="1">
      <alignment horizontal="center" vertical="center"/>
    </xf>
    <xf numFmtId="0" fontId="25" fillId="2" borderId="14" xfId="2" applyFont="1" applyFill="1" applyBorder="1" applyAlignment="1">
      <alignment horizontal="center" vertical="center" wrapText="1"/>
    </xf>
    <xf numFmtId="0" fontId="25" fillId="2" borderId="15" xfId="2" applyFont="1" applyFill="1" applyBorder="1" applyAlignment="1">
      <alignment horizontal="center" vertical="center" wrapText="1"/>
    </xf>
    <xf numFmtId="166" fontId="25" fillId="2" borderId="15" xfId="2" applyNumberFormat="1" applyFont="1" applyFill="1" applyBorder="1" applyAlignment="1">
      <alignment horizontal="center" vertical="center"/>
    </xf>
    <xf numFmtId="0" fontId="26" fillId="2" borderId="16" xfId="2" applyFont="1" applyFill="1" applyBorder="1"/>
    <xf numFmtId="167" fontId="25" fillId="2" borderId="15" xfId="2" applyNumberFormat="1" applyFont="1" applyFill="1" applyBorder="1" applyAlignment="1">
      <alignment horizontal="center" vertical="center"/>
    </xf>
    <xf numFmtId="0" fontId="26" fillId="2" borderId="16" xfId="2" applyFont="1" applyFill="1" applyBorder="1" applyAlignment="1">
      <alignment horizontal="center" vertical="center"/>
    </xf>
    <xf numFmtId="167" fontId="14" fillId="0" borderId="0" xfId="2" applyNumberFormat="1" applyFont="1" applyAlignment="1">
      <alignment vertical="center"/>
    </xf>
    <xf numFmtId="0" fontId="25" fillId="2" borderId="17" xfId="2" applyFont="1" applyFill="1" applyBorder="1" applyAlignment="1">
      <alignment horizontal="center" vertical="center" wrapText="1"/>
    </xf>
    <xf numFmtId="0" fontId="25" fillId="2" borderId="18" xfId="2" applyFont="1" applyFill="1" applyBorder="1" applyAlignment="1">
      <alignment vertical="center" wrapText="1"/>
    </xf>
    <xf numFmtId="167" fontId="25" fillId="2" borderId="18" xfId="2" applyNumberFormat="1" applyFont="1" applyFill="1" applyBorder="1" applyAlignment="1">
      <alignment horizontal="center" vertical="center"/>
    </xf>
    <xf numFmtId="0" fontId="26" fillId="2" borderId="19" xfId="2" applyFont="1" applyFill="1" applyBorder="1" applyAlignment="1">
      <alignment horizontal="center" vertical="center"/>
    </xf>
    <xf numFmtId="0" fontId="26" fillId="2" borderId="20" xfId="2" applyFont="1" applyFill="1" applyBorder="1" applyAlignment="1">
      <alignment horizontal="center" vertical="center" wrapText="1"/>
    </xf>
    <xf numFmtId="0" fontId="27" fillId="2" borderId="21" xfId="2" applyFont="1" applyFill="1" applyBorder="1" applyAlignment="1">
      <alignment horizontal="right" vertical="center" wrapText="1"/>
    </xf>
    <xf numFmtId="167" fontId="26" fillId="0" borderId="21" xfId="2" applyNumberFormat="1" applyFont="1" applyBorder="1" applyAlignment="1">
      <alignment horizontal="center" vertical="center"/>
    </xf>
    <xf numFmtId="0" fontId="26" fillId="2" borderId="22" xfId="2" applyFont="1" applyFill="1" applyBorder="1" applyAlignment="1">
      <alignment horizontal="center" vertical="center"/>
    </xf>
    <xf numFmtId="0" fontId="26" fillId="2" borderId="23" xfId="2" applyFont="1" applyFill="1" applyBorder="1" applyAlignment="1">
      <alignment horizontal="center" vertical="center" wrapText="1"/>
    </xf>
    <xf numFmtId="0" fontId="27" fillId="2" borderId="24" xfId="2" applyFont="1" applyFill="1" applyBorder="1" applyAlignment="1">
      <alignment horizontal="right" vertical="center" wrapText="1"/>
    </xf>
    <xf numFmtId="167" fontId="26" fillId="0" borderId="24" xfId="2" applyNumberFormat="1" applyFont="1" applyBorder="1" applyAlignment="1">
      <alignment horizontal="center" vertical="center"/>
    </xf>
    <xf numFmtId="0" fontId="26" fillId="2" borderId="25" xfId="2" applyFont="1" applyFill="1" applyBorder="1" applyAlignment="1">
      <alignment horizontal="center" vertical="center"/>
    </xf>
    <xf numFmtId="0" fontId="25" fillId="2" borderId="20" xfId="2" applyFont="1" applyFill="1" applyBorder="1" applyAlignment="1">
      <alignment horizontal="center" vertical="center" wrapText="1"/>
    </xf>
    <xf numFmtId="0" fontId="25" fillId="2" borderId="21" xfId="2" applyFont="1" applyFill="1" applyBorder="1" applyAlignment="1">
      <alignment vertical="center" wrapText="1"/>
    </xf>
    <xf numFmtId="167" fontId="25" fillId="2" borderId="21" xfId="2" applyNumberFormat="1" applyFont="1" applyFill="1" applyBorder="1" applyAlignment="1">
      <alignment horizontal="center" vertical="center"/>
    </xf>
    <xf numFmtId="166" fontId="26" fillId="0" borderId="21" xfId="2" applyNumberFormat="1" applyFont="1" applyBorder="1" applyAlignment="1">
      <alignment horizontal="center" vertical="center"/>
    </xf>
    <xf numFmtId="167" fontId="26" fillId="2" borderId="18" xfId="2" applyNumberFormat="1" applyFont="1" applyFill="1" applyBorder="1" applyAlignment="1">
      <alignment horizontal="center" vertical="center"/>
    </xf>
    <xf numFmtId="167" fontId="4" fillId="0" borderId="21" xfId="2" applyNumberFormat="1" applyFont="1" applyBorder="1" applyAlignment="1">
      <alignment horizontal="center" vertical="center"/>
    </xf>
    <xf numFmtId="0" fontId="25" fillId="2" borderId="18" xfId="2" applyFont="1" applyFill="1" applyBorder="1" applyAlignment="1">
      <alignment horizontal="center" vertical="center" wrapText="1"/>
    </xf>
    <xf numFmtId="167" fontId="4" fillId="3" borderId="21" xfId="2" applyNumberFormat="1" applyFont="1" applyFill="1" applyBorder="1" applyAlignment="1">
      <alignment horizontal="center" vertical="center"/>
    </xf>
    <xf numFmtId="4" fontId="17" fillId="0" borderId="0" xfId="2" applyNumberFormat="1" applyFont="1"/>
    <xf numFmtId="0" fontId="25" fillId="2" borderId="11" xfId="2" applyFont="1" applyFill="1" applyBorder="1" applyAlignment="1">
      <alignment horizontal="center" vertical="center" wrapText="1"/>
    </xf>
    <xf numFmtId="0" fontId="25" fillId="2" borderId="12" xfId="2" applyFont="1" applyFill="1" applyBorder="1" applyAlignment="1">
      <alignment horizontal="center" vertical="center" wrapText="1"/>
    </xf>
    <xf numFmtId="0" fontId="26" fillId="2" borderId="13" xfId="2" applyFont="1" applyFill="1" applyBorder="1" applyAlignment="1">
      <alignment horizontal="center" vertical="center"/>
    </xf>
    <xf numFmtId="4" fontId="25" fillId="2" borderId="18" xfId="2" applyNumberFormat="1" applyFont="1" applyFill="1" applyBorder="1" applyAlignment="1">
      <alignment horizontal="center" vertical="center"/>
    </xf>
    <xf numFmtId="0" fontId="26" fillId="2" borderId="21" xfId="2" applyFont="1" applyFill="1" applyBorder="1" applyAlignment="1">
      <alignment vertical="center" wrapText="1"/>
    </xf>
    <xf numFmtId="4" fontId="26" fillId="2" borderId="21" xfId="2" applyNumberFormat="1" applyFont="1" applyFill="1" applyBorder="1" applyAlignment="1">
      <alignment horizontal="center" vertical="center"/>
    </xf>
    <xf numFmtId="4" fontId="4" fillId="2" borderId="21" xfId="2" applyNumberFormat="1" applyFont="1" applyFill="1" applyBorder="1" applyAlignment="1">
      <alignment horizontal="center" vertical="center"/>
    </xf>
    <xf numFmtId="0" fontId="29" fillId="0" borderId="0" xfId="2" applyFont="1"/>
    <xf numFmtId="0" fontId="27" fillId="2" borderId="20" xfId="2" applyFont="1" applyFill="1" applyBorder="1" applyAlignment="1">
      <alignment horizontal="center" vertical="center" wrapText="1"/>
    </xf>
    <xf numFmtId="0" fontId="27" fillId="2" borderId="21" xfId="2" applyFont="1" applyFill="1" applyBorder="1" applyAlignment="1">
      <alignment vertical="center" wrapText="1"/>
    </xf>
    <xf numFmtId="4" fontId="27" fillId="2" borderId="21" xfId="2" applyNumberFormat="1" applyFont="1" applyFill="1" applyBorder="1" applyAlignment="1">
      <alignment horizontal="center" vertical="center"/>
    </xf>
    <xf numFmtId="0" fontId="27" fillId="2" borderId="22" xfId="2" applyFont="1" applyFill="1" applyBorder="1" applyAlignment="1">
      <alignment horizontal="center" vertical="center"/>
    </xf>
    <xf numFmtId="0" fontId="30" fillId="0" borderId="0" xfId="2" applyFont="1"/>
    <xf numFmtId="0" fontId="31" fillId="0" borderId="0" xfId="2" applyFont="1"/>
    <xf numFmtId="0" fontId="26" fillId="2" borderId="24" xfId="2" applyFont="1" applyFill="1" applyBorder="1" applyAlignment="1">
      <alignment vertical="center" wrapText="1"/>
    </xf>
    <xf numFmtId="4" fontId="26" fillId="2" borderId="24" xfId="2" applyNumberFormat="1" applyFont="1" applyFill="1" applyBorder="1" applyAlignment="1">
      <alignment horizontal="center" vertical="center"/>
    </xf>
    <xf numFmtId="0" fontId="31" fillId="0" borderId="0" xfId="2" applyFont="1" applyAlignment="1">
      <alignment vertical="center"/>
    </xf>
    <xf numFmtId="0" fontId="25" fillId="2" borderId="26" xfId="2"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1" xfId="0" applyFont="1" applyFill="1" applyBorder="1" applyAlignment="1">
      <alignment wrapText="1"/>
    </xf>
    <xf numFmtId="0" fontId="11" fillId="0" borderId="21" xfId="0" applyFont="1" applyBorder="1" applyAlignment="1">
      <alignment horizontal="center" vertical="center" wrapText="1"/>
    </xf>
    <xf numFmtId="0" fontId="11" fillId="2" borderId="22"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1" fillId="0" borderId="24" xfId="0" applyFont="1" applyBorder="1" applyAlignment="1">
      <alignment horizontal="center" vertical="center" wrapText="1"/>
    </xf>
    <xf numFmtId="0" fontId="11" fillId="2" borderId="25"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wrapText="1"/>
    </xf>
    <xf numFmtId="2" fontId="11" fillId="0" borderId="32" xfId="0" applyNumberFormat="1" applyFont="1" applyBorder="1" applyAlignment="1">
      <alignment horizontal="center" vertical="center" wrapText="1"/>
    </xf>
    <xf numFmtId="0" fontId="11" fillId="2" borderId="33" xfId="0" applyFont="1" applyFill="1" applyBorder="1" applyAlignment="1">
      <alignment horizontal="center" vertical="center" wrapText="1"/>
    </xf>
    <xf numFmtId="0" fontId="25" fillId="2" borderId="34" xfId="2" applyFont="1" applyFill="1" applyBorder="1" applyAlignment="1">
      <alignment horizontal="center" vertical="center" wrapText="1"/>
    </xf>
    <xf numFmtId="0" fontId="32" fillId="0" borderId="0" xfId="2" applyFont="1"/>
    <xf numFmtId="0" fontId="25" fillId="2" borderId="35" xfId="2" applyFont="1" applyFill="1" applyBorder="1" applyAlignment="1">
      <alignment horizontal="center" vertical="center" wrapText="1"/>
    </xf>
    <xf numFmtId="0" fontId="25" fillId="2" borderId="36" xfId="2" applyFont="1" applyFill="1" applyBorder="1" applyAlignment="1">
      <alignment horizontal="center" vertical="center" wrapText="1"/>
    </xf>
    <xf numFmtId="4" fontId="33" fillId="2" borderId="36" xfId="2" applyNumberFormat="1" applyFont="1" applyFill="1" applyBorder="1" applyAlignment="1">
      <alignment horizontal="center" vertical="center"/>
    </xf>
    <xf numFmtId="0" fontId="34" fillId="2" borderId="29" xfId="2" applyFont="1" applyFill="1" applyBorder="1" applyAlignment="1">
      <alignment horizontal="center" vertical="center"/>
    </xf>
    <xf numFmtId="0" fontId="35" fillId="0" borderId="0" xfId="2" applyFont="1"/>
    <xf numFmtId="0" fontId="25" fillId="2" borderId="23" xfId="2" applyFont="1" applyFill="1" applyBorder="1" applyAlignment="1">
      <alignment horizontal="center" vertical="center" wrapText="1"/>
    </xf>
    <xf numFmtId="0" fontId="25" fillId="2" borderId="24" xfId="2" applyFont="1" applyFill="1" applyBorder="1" applyAlignment="1">
      <alignment horizontal="center" vertical="center" wrapText="1"/>
    </xf>
    <xf numFmtId="4" fontId="25" fillId="0" borderId="24" xfId="2" applyNumberFormat="1" applyFont="1" applyBorder="1" applyAlignment="1">
      <alignment horizontal="center" vertical="center"/>
    </xf>
    <xf numFmtId="4" fontId="25" fillId="0" borderId="12" xfId="2" applyNumberFormat="1" applyFont="1" applyBorder="1" applyAlignment="1">
      <alignment horizontal="center" vertical="center"/>
    </xf>
    <xf numFmtId="4" fontId="25" fillId="2" borderId="36" xfId="2" applyNumberFormat="1" applyFont="1" applyFill="1" applyBorder="1" applyAlignment="1">
      <alignment horizontal="center" vertical="center"/>
    </xf>
    <xf numFmtId="0" fontId="26" fillId="2" borderId="29" xfId="2" applyFont="1" applyFill="1" applyBorder="1" applyAlignment="1">
      <alignment horizontal="center" vertical="center"/>
    </xf>
    <xf numFmtId="0" fontId="26" fillId="2" borderId="37" xfId="2" applyFont="1" applyFill="1" applyBorder="1" applyAlignment="1">
      <alignment horizontal="center" vertical="center" wrapText="1"/>
    </xf>
    <xf numFmtId="0" fontId="26" fillId="2" borderId="32" xfId="2" applyFont="1" applyFill="1" applyBorder="1" applyAlignment="1">
      <alignment vertical="center" wrapText="1"/>
    </xf>
    <xf numFmtId="4" fontId="26" fillId="2" borderId="32" xfId="2" applyNumberFormat="1" applyFont="1" applyFill="1" applyBorder="1" applyAlignment="1">
      <alignment horizontal="center" vertical="center"/>
    </xf>
    <xf numFmtId="0" fontId="26" fillId="2" borderId="33" xfId="2" applyFont="1" applyFill="1" applyBorder="1" applyAlignment="1">
      <alignment horizontal="center" vertical="center"/>
    </xf>
    <xf numFmtId="0" fontId="36" fillId="0" borderId="0" xfId="0" applyFont="1"/>
    <xf numFmtId="0" fontId="3" fillId="0" borderId="0" xfId="0" applyFont="1"/>
    <xf numFmtId="4" fontId="0" fillId="0" borderId="0" xfId="0" applyNumberFormat="1"/>
    <xf numFmtId="0" fontId="23" fillId="0" borderId="0" xfId="2" applyFont="1"/>
    <xf numFmtId="0" fontId="5" fillId="0" borderId="0" xfId="0" applyFont="1" applyAlignment="1" applyProtection="1">
      <alignment vertical="center"/>
      <protection hidden="1"/>
    </xf>
    <xf numFmtId="4" fontId="22" fillId="2" borderId="1" xfId="0" applyNumberFormat="1" applyFont="1" applyFill="1" applyBorder="1" applyAlignment="1" applyProtection="1">
      <alignment horizontal="center" vertical="center"/>
      <protection hidden="1"/>
    </xf>
    <xf numFmtId="4" fontId="22" fillId="2" borderId="38" xfId="0" applyNumberFormat="1" applyFont="1" applyFill="1" applyBorder="1" applyAlignment="1" applyProtection="1">
      <alignment horizontal="center" vertical="center" wrapText="1"/>
      <protection hidden="1"/>
    </xf>
    <xf numFmtId="4" fontId="16" fillId="2" borderId="1" xfId="0" applyNumberFormat="1" applyFont="1" applyFill="1" applyBorder="1" applyAlignment="1" applyProtection="1">
      <alignment horizontal="center" vertical="center" wrapText="1"/>
      <protection hidden="1"/>
    </xf>
    <xf numFmtId="4" fontId="16" fillId="2" borderId="39" xfId="0" applyNumberFormat="1" applyFont="1" applyFill="1" applyBorder="1" applyAlignment="1" applyProtection="1">
      <alignment horizontal="center" vertical="center" wrapText="1"/>
      <protection hidden="1"/>
    </xf>
    <xf numFmtId="4" fontId="30" fillId="2" borderId="11" xfId="0" applyNumberFormat="1" applyFont="1" applyFill="1" applyBorder="1" applyAlignment="1" applyProtection="1">
      <alignment horizontal="center" vertical="center" wrapText="1"/>
      <protection hidden="1"/>
    </xf>
    <xf numFmtId="4" fontId="30" fillId="2" borderId="12" xfId="0" applyNumberFormat="1" applyFont="1" applyFill="1" applyBorder="1" applyAlignment="1" applyProtection="1">
      <alignment horizontal="center" vertical="center" wrapText="1"/>
      <protection hidden="1"/>
    </xf>
    <xf numFmtId="4" fontId="30" fillId="2" borderId="13" xfId="0" applyNumberFormat="1" applyFont="1" applyFill="1" applyBorder="1" applyAlignment="1" applyProtection="1">
      <alignment horizontal="center" vertical="center" wrapText="1"/>
      <protection hidden="1"/>
    </xf>
    <xf numFmtId="4" fontId="30" fillId="2" borderId="40" xfId="0" applyNumberFormat="1" applyFont="1" applyFill="1" applyBorder="1" applyAlignment="1" applyProtection="1">
      <alignment horizontal="center" vertical="center" wrapText="1"/>
      <protection hidden="1"/>
    </xf>
    <xf numFmtId="4" fontId="16" fillId="2" borderId="41" xfId="0" applyNumberFormat="1" applyFont="1" applyFill="1" applyBorder="1" applyAlignment="1" applyProtection="1">
      <alignment horizontal="center" vertical="center" wrapText="1"/>
      <protection hidden="1"/>
    </xf>
    <xf numFmtId="4" fontId="30" fillId="2" borderId="41" xfId="0" applyNumberFormat="1" applyFont="1" applyFill="1" applyBorder="1" applyAlignment="1" applyProtection="1">
      <alignment horizontal="center" vertical="center" wrapText="1"/>
      <protection hidden="1"/>
    </xf>
    <xf numFmtId="4" fontId="22" fillId="2" borderId="42" xfId="0" applyNumberFormat="1" applyFont="1" applyFill="1" applyBorder="1" applyAlignment="1">
      <alignment horizontal="center" vertical="center"/>
    </xf>
    <xf numFmtId="4" fontId="22" fillId="2" borderId="43" xfId="0" applyNumberFormat="1" applyFont="1" applyFill="1" applyBorder="1" applyAlignment="1" applyProtection="1">
      <alignment horizontal="center" vertical="center" wrapText="1"/>
      <protection hidden="1"/>
    </xf>
    <xf numFmtId="4" fontId="37" fillId="2" borderId="42" xfId="0" applyNumberFormat="1" applyFont="1" applyFill="1" applyBorder="1" applyAlignment="1" applyProtection="1">
      <alignment horizontal="center" vertical="center"/>
      <protection hidden="1"/>
    </xf>
    <xf numFmtId="4" fontId="37" fillId="2" borderId="44" xfId="0" applyNumberFormat="1" applyFont="1" applyFill="1" applyBorder="1" applyAlignment="1" applyProtection="1">
      <alignment horizontal="center" vertical="center"/>
      <protection hidden="1"/>
    </xf>
    <xf numFmtId="4" fontId="37" fillId="2" borderId="45" xfId="0" applyNumberFormat="1" applyFont="1" applyFill="1" applyBorder="1" applyAlignment="1" applyProtection="1">
      <alignment horizontal="center" vertical="center"/>
      <protection hidden="1"/>
    </xf>
    <xf numFmtId="4" fontId="37" fillId="2" borderId="46" xfId="0" applyNumberFormat="1" applyFont="1" applyFill="1" applyBorder="1" applyAlignment="1" applyProtection="1">
      <alignment horizontal="center" vertical="center"/>
      <protection hidden="1"/>
    </xf>
    <xf numFmtId="4" fontId="37" fillId="2" borderId="47" xfId="0" applyNumberFormat="1" applyFont="1" applyFill="1" applyBorder="1" applyAlignment="1" applyProtection="1">
      <alignment horizontal="center" vertical="center"/>
      <protection hidden="1"/>
    </xf>
    <xf numFmtId="4" fontId="37" fillId="2" borderId="43" xfId="0" applyNumberFormat="1" applyFont="1" applyFill="1" applyBorder="1" applyAlignment="1" applyProtection="1">
      <alignment horizontal="center" vertical="center"/>
      <protection hidden="1"/>
    </xf>
    <xf numFmtId="4" fontId="37" fillId="2" borderId="48" xfId="0" applyNumberFormat="1" applyFont="1" applyFill="1" applyBorder="1" applyAlignment="1" applyProtection="1">
      <alignment horizontal="center" vertical="center"/>
      <protection hidden="1"/>
    </xf>
    <xf numFmtId="4" fontId="22" fillId="2" borderId="5" xfId="0" applyNumberFormat="1" applyFont="1" applyFill="1" applyBorder="1" applyAlignment="1">
      <alignment horizontal="center" vertical="center"/>
    </xf>
    <xf numFmtId="4" fontId="22" fillId="2" borderId="49" xfId="0" applyNumberFormat="1" applyFont="1" applyFill="1" applyBorder="1" applyAlignment="1">
      <alignment horizontal="left" vertical="center" wrapText="1"/>
    </xf>
    <xf numFmtId="4" fontId="22" fillId="2" borderId="5" xfId="0" applyNumberFormat="1" applyFont="1" applyFill="1" applyBorder="1" applyAlignment="1">
      <alignment horizontal="center" vertical="center" wrapText="1"/>
    </xf>
    <xf numFmtId="4" fontId="22" fillId="2" borderId="50" xfId="0" applyNumberFormat="1" applyFont="1" applyFill="1" applyBorder="1" applyAlignment="1">
      <alignment horizontal="center" vertical="center" wrapText="1"/>
    </xf>
    <xf numFmtId="4" fontId="22" fillId="2" borderId="35" xfId="0" applyNumberFormat="1" applyFont="1" applyFill="1" applyBorder="1" applyAlignment="1">
      <alignment horizontal="center" vertical="center" wrapText="1"/>
    </xf>
    <xf numFmtId="4" fontId="22" fillId="2" borderId="36" xfId="0" applyNumberFormat="1" applyFont="1" applyFill="1" applyBorder="1" applyAlignment="1">
      <alignment horizontal="center" vertical="center" wrapText="1"/>
    </xf>
    <xf numFmtId="4" fontId="22" fillId="2" borderId="29" xfId="0" applyNumberFormat="1" applyFont="1" applyFill="1" applyBorder="1" applyAlignment="1">
      <alignment horizontal="center" vertical="center" wrapText="1"/>
    </xf>
    <xf numFmtId="4" fontId="22" fillId="2" borderId="27" xfId="0" applyNumberFormat="1" applyFont="1" applyFill="1" applyBorder="1" applyAlignment="1">
      <alignment horizontal="center" vertical="center" wrapText="1"/>
    </xf>
    <xf numFmtId="4" fontId="22" fillId="2" borderId="51" xfId="0" applyNumberFormat="1" applyFont="1" applyFill="1" applyBorder="1" applyAlignment="1">
      <alignment horizontal="center" vertical="center" wrapText="1"/>
    </xf>
    <xf numFmtId="4" fontId="22" fillId="2" borderId="4" xfId="0" applyNumberFormat="1" applyFont="1" applyFill="1" applyBorder="1" applyAlignment="1">
      <alignment horizontal="center" vertical="center"/>
    </xf>
    <xf numFmtId="4" fontId="22" fillId="2" borderId="26" xfId="0" applyNumberFormat="1" applyFont="1" applyFill="1" applyBorder="1" applyAlignment="1">
      <alignment horizontal="left" vertical="center" wrapText="1"/>
    </xf>
    <xf numFmtId="4" fontId="22" fillId="2" borderId="4" xfId="0" applyNumberFormat="1" applyFont="1" applyFill="1" applyBorder="1" applyAlignment="1">
      <alignment horizontal="center" vertical="center" wrapText="1"/>
    </xf>
    <xf numFmtId="4" fontId="22" fillId="2" borderId="52" xfId="0" applyNumberFormat="1" applyFont="1" applyFill="1" applyBorder="1" applyAlignment="1">
      <alignment horizontal="center" vertical="center" wrapText="1"/>
    </xf>
    <xf numFmtId="4" fontId="22" fillId="2" borderId="17" xfId="0" applyNumberFormat="1" applyFont="1" applyFill="1" applyBorder="1" applyAlignment="1">
      <alignment horizontal="center" vertical="center" wrapText="1"/>
    </xf>
    <xf numFmtId="4" fontId="22" fillId="2" borderId="18" xfId="0" applyNumberFormat="1" applyFont="1" applyFill="1" applyBorder="1" applyAlignment="1">
      <alignment horizontal="center" vertical="center" wrapText="1"/>
    </xf>
    <xf numFmtId="4" fontId="22" fillId="2" borderId="19" xfId="0" applyNumberFormat="1" applyFont="1" applyFill="1" applyBorder="1" applyAlignment="1">
      <alignment horizontal="center" vertical="center" wrapText="1"/>
    </xf>
    <xf numFmtId="4" fontId="22" fillId="2" borderId="53" xfId="0" applyNumberFormat="1" applyFont="1" applyFill="1" applyBorder="1" applyAlignment="1">
      <alignment horizontal="center" vertical="center" wrapText="1"/>
    </xf>
    <xf numFmtId="4" fontId="22" fillId="2" borderId="54" xfId="0" applyNumberFormat="1" applyFont="1" applyFill="1" applyBorder="1" applyAlignment="1">
      <alignment horizontal="center" vertical="center" wrapText="1"/>
    </xf>
    <xf numFmtId="4" fontId="36" fillId="0" borderId="0" xfId="0" applyNumberFormat="1" applyFont="1"/>
    <xf numFmtId="0" fontId="38" fillId="0" borderId="0" xfId="0" applyFont="1"/>
    <xf numFmtId="4" fontId="37" fillId="2" borderId="5" xfId="0" applyNumberFormat="1" applyFont="1" applyFill="1" applyBorder="1" applyAlignment="1">
      <alignment horizontal="right" vertical="center"/>
    </xf>
    <xf numFmtId="4" fontId="37" fillId="2" borderId="49" xfId="0" applyNumberFormat="1" applyFont="1" applyFill="1" applyBorder="1" applyAlignment="1">
      <alignment horizontal="right" vertical="center" wrapText="1"/>
    </xf>
    <xf numFmtId="4" fontId="37" fillId="2" borderId="5" xfId="0" applyNumberFormat="1" applyFont="1" applyFill="1" applyBorder="1" applyAlignment="1">
      <alignment horizontal="center" vertical="center" wrapText="1"/>
    </xf>
    <xf numFmtId="4" fontId="37" fillId="2" borderId="50" xfId="0" applyNumberFormat="1" applyFont="1" applyFill="1" applyBorder="1" applyAlignment="1">
      <alignment horizontal="center" vertical="center" wrapText="1"/>
    </xf>
    <xf numFmtId="4" fontId="37" fillId="2" borderId="35" xfId="0" applyNumberFormat="1" applyFont="1" applyFill="1" applyBorder="1" applyAlignment="1">
      <alignment horizontal="center" vertical="center" wrapText="1"/>
    </xf>
    <xf numFmtId="4" fontId="37" fillId="2" borderId="36" xfId="0" applyNumberFormat="1" applyFont="1" applyFill="1" applyBorder="1" applyAlignment="1">
      <alignment horizontal="center" vertical="center" wrapText="1"/>
    </xf>
    <xf numFmtId="4" fontId="37" fillId="2" borderId="29" xfId="0" applyNumberFormat="1" applyFont="1" applyFill="1" applyBorder="1" applyAlignment="1">
      <alignment horizontal="center" vertical="center" wrapText="1"/>
    </xf>
    <xf numFmtId="4" fontId="37" fillId="2" borderId="27" xfId="0" applyNumberFormat="1" applyFont="1" applyFill="1" applyBorder="1" applyAlignment="1">
      <alignment horizontal="center" vertical="center" wrapText="1"/>
    </xf>
    <xf numFmtId="4" fontId="37" fillId="2" borderId="51" xfId="0" applyNumberFormat="1" applyFont="1" applyFill="1" applyBorder="1" applyAlignment="1">
      <alignment horizontal="center" vertical="center" wrapText="1"/>
    </xf>
    <xf numFmtId="4" fontId="37" fillId="2" borderId="5" xfId="0" applyNumberFormat="1" applyFont="1" applyFill="1" applyBorder="1" applyAlignment="1">
      <alignment horizontal="center" vertical="center"/>
    </xf>
    <xf numFmtId="4" fontId="37" fillId="2" borderId="55" xfId="0" applyNumberFormat="1" applyFont="1" applyFill="1" applyBorder="1" applyAlignment="1">
      <alignment horizontal="right" vertical="center" wrapText="1"/>
    </xf>
    <xf numFmtId="4" fontId="37" fillId="2" borderId="2" xfId="0" applyNumberFormat="1" applyFont="1" applyFill="1" applyBorder="1" applyAlignment="1">
      <alignment horizontal="center" vertical="center" wrapText="1"/>
    </xf>
    <xf numFmtId="4" fontId="37" fillId="2" borderId="56" xfId="0" applyNumberFormat="1" applyFont="1" applyFill="1" applyBorder="1" applyAlignment="1">
      <alignment horizontal="center" vertical="center" wrapText="1"/>
    </xf>
    <xf numFmtId="4" fontId="37" fillId="2" borderId="20" xfId="0" applyNumberFormat="1" applyFont="1" applyFill="1" applyBorder="1" applyAlignment="1">
      <alignment horizontal="center" vertical="center" wrapText="1"/>
    </xf>
    <xf numFmtId="4" fontId="37" fillId="2" borderId="21" xfId="0" applyNumberFormat="1" applyFont="1" applyFill="1" applyBorder="1" applyAlignment="1">
      <alignment horizontal="center" vertical="center" wrapText="1"/>
    </xf>
    <xf numFmtId="4" fontId="37" fillId="2" borderId="22" xfId="0" applyNumberFormat="1" applyFont="1" applyFill="1" applyBorder="1" applyAlignment="1">
      <alignment horizontal="center" vertical="center" wrapText="1"/>
    </xf>
    <xf numFmtId="4" fontId="37" fillId="2" borderId="28" xfId="0" applyNumberFormat="1" applyFont="1" applyFill="1" applyBorder="1" applyAlignment="1">
      <alignment horizontal="center" vertical="center" wrapText="1"/>
    </xf>
    <xf numFmtId="4" fontId="37" fillId="2" borderId="57" xfId="0" applyNumberFormat="1" applyFont="1" applyFill="1" applyBorder="1" applyAlignment="1">
      <alignment horizontal="center" vertical="center" wrapText="1"/>
    </xf>
    <xf numFmtId="4" fontId="30" fillId="2" borderId="5" xfId="0" applyNumberFormat="1" applyFont="1" applyFill="1" applyBorder="1" applyAlignment="1">
      <alignment horizontal="center" vertical="center"/>
    </xf>
    <xf numFmtId="4" fontId="30" fillId="2" borderId="55" xfId="0" applyNumberFormat="1" applyFont="1" applyFill="1" applyBorder="1" applyAlignment="1">
      <alignment horizontal="right" vertical="center" wrapText="1"/>
    </xf>
    <xf numFmtId="4" fontId="30" fillId="2" borderId="2" xfId="0" applyNumberFormat="1" applyFont="1" applyFill="1" applyBorder="1" applyAlignment="1">
      <alignment horizontal="center" vertical="center" wrapText="1"/>
    </xf>
    <xf numFmtId="4" fontId="30" fillId="2" borderId="56" xfId="0" applyNumberFormat="1" applyFont="1" applyFill="1" applyBorder="1" applyAlignment="1">
      <alignment horizontal="center" vertical="center" wrapText="1"/>
    </xf>
    <xf numFmtId="4" fontId="30" fillId="2" borderId="20" xfId="0" applyNumberFormat="1" applyFont="1" applyFill="1" applyBorder="1" applyAlignment="1">
      <alignment horizontal="center" vertical="center" wrapText="1"/>
    </xf>
    <xf numFmtId="4" fontId="30" fillId="2" borderId="21" xfId="0" applyNumberFormat="1" applyFont="1" applyFill="1" applyBorder="1" applyAlignment="1">
      <alignment horizontal="center" vertical="center" wrapText="1"/>
    </xf>
    <xf numFmtId="4" fontId="30" fillId="2" borderId="22" xfId="0" applyNumberFormat="1" applyFont="1" applyFill="1" applyBorder="1" applyAlignment="1">
      <alignment horizontal="center" vertical="center" wrapText="1"/>
    </xf>
    <xf numFmtId="4" fontId="30" fillId="2" borderId="28" xfId="0" applyNumberFormat="1" applyFont="1" applyFill="1" applyBorder="1" applyAlignment="1">
      <alignment horizontal="center" vertical="center" wrapText="1"/>
    </xf>
    <xf numFmtId="4" fontId="30" fillId="2" borderId="57" xfId="0" applyNumberFormat="1" applyFont="1" applyFill="1" applyBorder="1" applyAlignment="1">
      <alignment horizontal="center" vertical="center" wrapText="1"/>
    </xf>
    <xf numFmtId="4" fontId="37" fillId="2" borderId="10" xfId="0" applyNumberFormat="1" applyFont="1" applyFill="1" applyBorder="1" applyAlignment="1">
      <alignment horizontal="center" vertical="center"/>
    </xf>
    <xf numFmtId="4" fontId="37" fillId="2" borderId="58" xfId="0" applyNumberFormat="1" applyFont="1" applyFill="1" applyBorder="1" applyAlignment="1">
      <alignment horizontal="right" vertical="center" wrapText="1"/>
    </xf>
    <xf numFmtId="4" fontId="37" fillId="2" borderId="3" xfId="0" applyNumberFormat="1" applyFont="1" applyFill="1" applyBorder="1" applyAlignment="1">
      <alignment horizontal="center" vertical="center" wrapText="1"/>
    </xf>
    <xf numFmtId="4" fontId="37" fillId="2" borderId="59" xfId="0" applyNumberFormat="1" applyFont="1" applyFill="1" applyBorder="1" applyAlignment="1">
      <alignment horizontal="center" vertical="center" wrapText="1"/>
    </xf>
    <xf numFmtId="4" fontId="37" fillId="2" borderId="23" xfId="0" applyNumberFormat="1" applyFont="1" applyFill="1" applyBorder="1" applyAlignment="1">
      <alignment horizontal="center" vertical="center" wrapText="1"/>
    </xf>
    <xf numFmtId="4" fontId="37" fillId="2" borderId="24" xfId="0" applyNumberFormat="1" applyFont="1" applyFill="1" applyBorder="1" applyAlignment="1">
      <alignment horizontal="center" vertical="center" wrapText="1"/>
    </xf>
    <xf numFmtId="4" fontId="37" fillId="2" borderId="25" xfId="0" applyNumberFormat="1" applyFont="1" applyFill="1" applyBorder="1" applyAlignment="1">
      <alignment horizontal="center" vertical="center" wrapText="1"/>
    </xf>
    <xf numFmtId="4" fontId="37" fillId="2" borderId="30" xfId="0" applyNumberFormat="1" applyFont="1" applyFill="1" applyBorder="1" applyAlignment="1">
      <alignment horizontal="center" vertical="center" wrapText="1"/>
    </xf>
    <xf numFmtId="4" fontId="37" fillId="2" borderId="60" xfId="0" applyNumberFormat="1" applyFont="1" applyFill="1" applyBorder="1" applyAlignment="1">
      <alignment horizontal="center" vertical="center" wrapText="1"/>
    </xf>
    <xf numFmtId="4" fontId="22" fillId="2" borderId="26" xfId="0" applyNumberFormat="1" applyFont="1" applyFill="1" applyBorder="1" applyAlignment="1">
      <alignment wrapText="1"/>
    </xf>
    <xf numFmtId="4" fontId="37" fillId="2" borderId="55" xfId="0" applyNumberFormat="1" applyFont="1" applyFill="1" applyBorder="1" applyAlignment="1">
      <alignment horizontal="right" wrapText="1"/>
    </xf>
    <xf numFmtId="4" fontId="3" fillId="0" borderId="0" xfId="0" applyNumberFormat="1" applyFont="1"/>
    <xf numFmtId="4" fontId="22" fillId="2" borderId="61" xfId="0" applyNumberFormat="1" applyFont="1" applyFill="1" applyBorder="1" applyAlignment="1" applyProtection="1">
      <alignment horizontal="center" vertical="center" wrapText="1"/>
      <protection hidden="1"/>
    </xf>
    <xf numFmtId="4" fontId="22" fillId="2" borderId="62" xfId="0" applyNumberFormat="1" applyFont="1" applyFill="1" applyBorder="1" applyAlignment="1">
      <alignment horizontal="left" vertical="center" wrapText="1"/>
    </xf>
    <xf numFmtId="167" fontId="22" fillId="2" borderId="61" xfId="0" applyNumberFormat="1" applyFont="1" applyFill="1" applyBorder="1" applyAlignment="1">
      <alignment horizontal="center" vertical="center" wrapText="1"/>
    </xf>
    <xf numFmtId="167" fontId="22" fillId="2" borderId="63" xfId="0" applyNumberFormat="1" applyFont="1" applyFill="1" applyBorder="1" applyAlignment="1">
      <alignment horizontal="center" vertical="center" wrapText="1"/>
    </xf>
    <xf numFmtId="167" fontId="22" fillId="2" borderId="64" xfId="0" applyNumberFormat="1" applyFont="1" applyFill="1" applyBorder="1" applyAlignment="1">
      <alignment horizontal="center" vertical="center" wrapText="1"/>
    </xf>
    <xf numFmtId="167" fontId="22" fillId="2" borderId="65" xfId="0" applyNumberFormat="1" applyFont="1" applyFill="1" applyBorder="1" applyAlignment="1">
      <alignment horizontal="center" vertical="center" wrapText="1"/>
    </xf>
    <xf numFmtId="167" fontId="22" fillId="2" borderId="40" xfId="0" applyNumberFormat="1" applyFont="1" applyFill="1" applyBorder="1" applyAlignment="1">
      <alignment horizontal="center" vertical="center" wrapText="1"/>
    </xf>
    <xf numFmtId="167" fontId="22" fillId="2" borderId="62" xfId="0" applyNumberFormat="1" applyFont="1" applyFill="1" applyBorder="1" applyAlignment="1">
      <alignment horizontal="center" vertical="center" wrapText="1"/>
    </xf>
    <xf numFmtId="167" fontId="22" fillId="2" borderId="66" xfId="0" applyNumberFormat="1" applyFont="1" applyFill="1" applyBorder="1" applyAlignment="1">
      <alignment horizontal="center" vertical="center" wrapText="1"/>
    </xf>
    <xf numFmtId="167" fontId="39" fillId="2" borderId="61" xfId="0" applyNumberFormat="1" applyFont="1" applyFill="1" applyBorder="1" applyAlignment="1">
      <alignment horizontal="center" vertical="center" wrapText="1"/>
    </xf>
    <xf numFmtId="4" fontId="22" fillId="2" borderId="67" xfId="0" applyNumberFormat="1" applyFont="1" applyFill="1" applyBorder="1" applyAlignment="1" applyProtection="1">
      <alignment horizontal="center" vertical="center" wrapText="1"/>
      <protection hidden="1"/>
    </xf>
    <xf numFmtId="4" fontId="22" fillId="2" borderId="67" xfId="0" applyNumberFormat="1" applyFont="1" applyFill="1" applyBorder="1" applyAlignment="1">
      <alignment horizontal="center" vertical="center" wrapText="1"/>
    </xf>
    <xf numFmtId="4" fontId="22" fillId="2" borderId="68" xfId="0" applyNumberFormat="1" applyFont="1" applyFill="1" applyBorder="1" applyAlignment="1">
      <alignment horizontal="center" vertical="center" wrapText="1"/>
    </xf>
    <xf numFmtId="4" fontId="22" fillId="2" borderId="69" xfId="0" applyNumberFormat="1" applyFont="1" applyFill="1" applyBorder="1" applyAlignment="1">
      <alignment horizontal="center" vertical="center" wrapText="1"/>
    </xf>
    <xf numFmtId="4" fontId="22" fillId="2" borderId="70" xfId="0" applyNumberFormat="1" applyFont="1" applyFill="1" applyBorder="1" applyAlignment="1">
      <alignment horizontal="center" vertical="center" wrapText="1"/>
    </xf>
    <xf numFmtId="4" fontId="22" fillId="2" borderId="71" xfId="0" applyNumberFormat="1" applyFont="1" applyFill="1" applyBorder="1" applyAlignment="1">
      <alignment horizontal="center" vertical="center" wrapText="1"/>
    </xf>
    <xf numFmtId="4" fontId="22" fillId="2" borderId="72" xfId="0" applyNumberFormat="1" applyFont="1" applyFill="1" applyBorder="1" applyAlignment="1">
      <alignment horizontal="center" vertical="center" wrapText="1"/>
    </xf>
    <xf numFmtId="4" fontId="22" fillId="2" borderId="73" xfId="0" applyNumberFormat="1" applyFont="1" applyFill="1" applyBorder="1" applyAlignment="1">
      <alignment horizontal="center" vertical="center" wrapText="1"/>
    </xf>
    <xf numFmtId="4" fontId="39" fillId="2" borderId="67" xfId="0" applyNumberFormat="1" applyFont="1" applyFill="1" applyBorder="1" applyAlignment="1">
      <alignment horizontal="center" vertical="center" wrapText="1"/>
    </xf>
    <xf numFmtId="4" fontId="39" fillId="2" borderId="4" xfId="0" applyNumberFormat="1" applyFont="1" applyFill="1" applyBorder="1" applyAlignment="1" applyProtection="1">
      <alignment horizontal="center" vertical="center" wrapText="1"/>
      <protection hidden="1"/>
    </xf>
    <xf numFmtId="4" fontId="22" fillId="2" borderId="53" xfId="0" applyNumberFormat="1" applyFont="1" applyFill="1" applyBorder="1" applyAlignment="1">
      <alignment horizontal="left" vertical="center" wrapText="1"/>
    </xf>
    <xf numFmtId="4" fontId="39" fillId="2" borderId="4" xfId="0" applyNumberFormat="1" applyFont="1" applyFill="1" applyBorder="1" applyAlignment="1">
      <alignment horizontal="center" vertical="center" wrapText="1"/>
    </xf>
    <xf numFmtId="4" fontId="11" fillId="2" borderId="2" xfId="0" applyNumberFormat="1" applyFont="1" applyFill="1" applyBorder="1" applyAlignment="1" applyProtection="1">
      <alignment horizontal="center" vertical="center" wrapText="1"/>
      <protection hidden="1"/>
    </xf>
    <xf numFmtId="4" fontId="11" fillId="2" borderId="28" xfId="0" applyNumberFormat="1" applyFont="1" applyFill="1" applyBorder="1" applyAlignment="1">
      <alignment horizontal="right" vertical="center" wrapText="1"/>
    </xf>
    <xf numFmtId="4" fontId="11" fillId="2" borderId="2"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11" fillId="2" borderId="20" xfId="0" applyNumberFormat="1" applyFont="1" applyFill="1" applyBorder="1" applyAlignment="1">
      <alignment horizontal="center" vertical="center" wrapText="1"/>
    </xf>
    <xf numFmtId="4" fontId="11" fillId="2" borderId="21"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8"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 xfId="0" applyNumberFormat="1" applyFont="1" applyFill="1" applyBorder="1" applyAlignment="1">
      <alignment horizontal="center" vertical="center" wrapText="1"/>
    </xf>
    <xf numFmtId="4" fontId="11" fillId="2" borderId="74"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30" xfId="0" applyNumberFormat="1" applyFont="1" applyFill="1" applyBorder="1" applyAlignment="1">
      <alignment horizontal="center" vertical="center" wrapText="1"/>
    </xf>
    <xf numFmtId="4" fontId="11" fillId="2" borderId="75" xfId="0" applyNumberFormat="1" applyFont="1" applyFill="1" applyBorder="1" applyAlignment="1">
      <alignment horizontal="center" vertical="center" wrapText="1"/>
    </xf>
    <xf numFmtId="4" fontId="11" fillId="2" borderId="76" xfId="0" applyNumberFormat="1" applyFont="1" applyFill="1" applyBorder="1" applyAlignment="1">
      <alignment horizontal="right" vertical="center" wrapText="1"/>
    </xf>
    <xf numFmtId="4" fontId="11" fillId="2" borderId="77" xfId="0" applyNumberFormat="1" applyFont="1" applyFill="1" applyBorder="1" applyAlignment="1">
      <alignment horizontal="center" vertical="center" wrapText="1"/>
    </xf>
    <xf numFmtId="4" fontId="11" fillId="2" borderId="78" xfId="0" applyNumberFormat="1" applyFont="1" applyFill="1" applyBorder="1" applyAlignment="1">
      <alignment horizontal="center" vertical="center" wrapText="1"/>
    </xf>
    <xf numFmtId="4" fontId="11" fillId="2" borderId="79" xfId="0" applyNumberFormat="1" applyFont="1" applyFill="1" applyBorder="1" applyAlignment="1">
      <alignment horizontal="center" vertical="center" wrapText="1"/>
    </xf>
    <xf numFmtId="4" fontId="11" fillId="2" borderId="80" xfId="0" applyNumberFormat="1" applyFont="1" applyFill="1" applyBorder="1" applyAlignment="1">
      <alignment horizontal="center" vertical="center" wrapText="1"/>
    </xf>
    <xf numFmtId="4" fontId="11" fillId="2" borderId="81" xfId="0" applyNumberFormat="1" applyFont="1" applyFill="1" applyBorder="1" applyAlignment="1">
      <alignment horizontal="center" vertical="center" wrapText="1"/>
    </xf>
    <xf numFmtId="4" fontId="11" fillId="2" borderId="76" xfId="0" applyNumberFormat="1" applyFont="1" applyFill="1" applyBorder="1" applyAlignment="1">
      <alignment horizontal="center" vertical="center" wrapText="1"/>
    </xf>
    <xf numFmtId="4" fontId="11" fillId="2" borderId="82" xfId="0" applyNumberFormat="1" applyFont="1" applyFill="1" applyBorder="1" applyAlignment="1">
      <alignment horizontal="center" vertical="center" wrapText="1"/>
    </xf>
    <xf numFmtId="4" fontId="22" fillId="2" borderId="42" xfId="0" applyNumberFormat="1" applyFont="1" applyFill="1" applyBorder="1" applyAlignment="1" applyProtection="1">
      <alignment horizontal="center" vertical="center"/>
      <protection hidden="1"/>
    </xf>
    <xf numFmtId="4" fontId="22" fillId="2" borderId="44" xfId="0" applyNumberFormat="1" applyFont="1" applyFill="1" applyBorder="1" applyAlignment="1" applyProtection="1">
      <alignment horizontal="center" vertical="center"/>
      <protection hidden="1"/>
    </xf>
    <xf numFmtId="4" fontId="22" fillId="2" borderId="45" xfId="0" applyNumberFormat="1" applyFont="1" applyFill="1" applyBorder="1" applyAlignment="1" applyProtection="1">
      <alignment horizontal="center" vertical="center"/>
      <protection hidden="1"/>
    </xf>
    <xf numFmtId="4" fontId="22" fillId="2" borderId="46" xfId="0" applyNumberFormat="1" applyFont="1" applyFill="1" applyBorder="1" applyAlignment="1" applyProtection="1">
      <alignment horizontal="center" vertical="center"/>
      <protection hidden="1"/>
    </xf>
    <xf numFmtId="4" fontId="22" fillId="2" borderId="47" xfId="0" applyNumberFormat="1" applyFont="1" applyFill="1" applyBorder="1" applyAlignment="1" applyProtection="1">
      <alignment horizontal="center" vertical="center"/>
      <protection hidden="1"/>
    </xf>
    <xf numFmtId="4" fontId="22" fillId="2" borderId="43" xfId="0" applyNumberFormat="1" applyFont="1" applyFill="1" applyBorder="1" applyAlignment="1" applyProtection="1">
      <alignment horizontal="center" vertical="center"/>
      <protection hidden="1"/>
    </xf>
    <xf numFmtId="4" fontId="22" fillId="2" borderId="48" xfId="0" applyNumberFormat="1" applyFont="1" applyFill="1" applyBorder="1" applyAlignment="1" applyProtection="1">
      <alignment horizontal="center" vertical="center"/>
      <protection hidden="1"/>
    </xf>
    <xf numFmtId="4" fontId="22" fillId="0" borderId="35" xfId="0" applyNumberFormat="1" applyFont="1" applyBorder="1" applyAlignment="1">
      <alignment horizontal="center" vertical="center" wrapText="1"/>
    </xf>
    <xf numFmtId="4" fontId="22" fillId="0" borderId="36" xfId="0" applyNumberFormat="1" applyFont="1" applyBorder="1" applyAlignment="1">
      <alignment horizontal="center" vertical="center" wrapText="1"/>
    </xf>
    <xf numFmtId="4" fontId="22" fillId="0" borderId="29" xfId="0" applyNumberFormat="1" applyFont="1" applyBorder="1" applyAlignment="1">
      <alignment horizontal="center" vertical="center" wrapText="1"/>
    </xf>
    <xf numFmtId="4" fontId="22" fillId="0" borderId="5" xfId="0" applyNumberFormat="1" applyFont="1" applyBorder="1" applyAlignment="1">
      <alignment horizontal="center" vertical="center" wrapText="1"/>
    </xf>
    <xf numFmtId="4" fontId="22" fillId="2" borderId="4" xfId="0" applyNumberFormat="1" applyFont="1" applyFill="1" applyBorder="1" applyAlignment="1" applyProtection="1">
      <alignment horizontal="center" vertical="center"/>
      <protection hidden="1"/>
    </xf>
    <xf numFmtId="4" fontId="22" fillId="2" borderId="53" xfId="0" applyNumberFormat="1" applyFont="1" applyFill="1" applyBorder="1" applyAlignment="1">
      <alignment horizontal="left" wrapText="1"/>
    </xf>
    <xf numFmtId="4" fontId="11" fillId="0" borderId="20" xfId="0" applyNumberFormat="1" applyFont="1" applyBorder="1" applyAlignment="1">
      <alignment horizontal="center" vertical="center" wrapText="1"/>
    </xf>
    <xf numFmtId="4" fontId="11" fillId="0" borderId="21" xfId="0" applyNumberFormat="1" applyFont="1" applyBorder="1" applyAlignment="1">
      <alignment horizontal="center" vertical="center" wrapText="1"/>
    </xf>
    <xf numFmtId="4" fontId="11" fillId="0" borderId="28" xfId="0" applyNumberFormat="1" applyFont="1" applyBorder="1" applyAlignment="1">
      <alignment horizontal="center" vertical="center" wrapText="1"/>
    </xf>
    <xf numFmtId="4" fontId="11" fillId="0" borderId="22"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4" fontId="11" fillId="0" borderId="55" xfId="0" applyNumberFormat="1" applyFont="1" applyBorder="1" applyAlignment="1">
      <alignment horizontal="center" vertical="center" wrapText="1"/>
    </xf>
    <xf numFmtId="4" fontId="11" fillId="3" borderId="21" xfId="0" applyNumberFormat="1" applyFont="1" applyFill="1" applyBorder="1" applyAlignment="1">
      <alignment horizontal="center" vertical="center" wrapText="1"/>
    </xf>
    <xf numFmtId="4" fontId="11" fillId="3" borderId="22" xfId="0" applyNumberFormat="1" applyFont="1" applyFill="1" applyBorder="1" applyAlignment="1">
      <alignment horizontal="center" vertical="center" wrapText="1"/>
    </xf>
    <xf numFmtId="4" fontId="11" fillId="3" borderId="20" xfId="0" applyNumberFormat="1" applyFont="1" applyFill="1" applyBorder="1" applyAlignment="1">
      <alignment horizontal="center" vertical="center" wrapText="1"/>
    </xf>
    <xf numFmtId="4" fontId="11" fillId="0" borderId="57" xfId="0" applyNumberFormat="1" applyFont="1" applyBorder="1" applyAlignment="1">
      <alignment horizontal="center" vertical="center" wrapText="1"/>
    </xf>
    <xf numFmtId="4" fontId="11" fillId="3" borderId="28" xfId="0" applyNumberFormat="1" applyFont="1" applyFill="1" applyBorder="1" applyAlignment="1">
      <alignment horizontal="center" vertical="center" wrapText="1"/>
    </xf>
    <xf numFmtId="4" fontId="37" fillId="2" borderId="30" xfId="0" applyNumberFormat="1" applyFont="1" applyFill="1" applyBorder="1" applyAlignment="1">
      <alignment horizontal="right" wrapText="1"/>
    </xf>
    <xf numFmtId="4" fontId="37" fillId="2" borderId="75" xfId="0" applyNumberFormat="1" applyFont="1" applyFill="1" applyBorder="1" applyAlignment="1">
      <alignment horizontal="right" wrapText="1"/>
    </xf>
    <xf numFmtId="4" fontId="22" fillId="3" borderId="17" xfId="0" applyNumberFormat="1" applyFont="1" applyFill="1" applyBorder="1" applyAlignment="1">
      <alignment horizontal="center" vertical="center" wrapText="1"/>
    </xf>
    <xf numFmtId="4" fontId="22" fillId="3" borderId="18" xfId="0" applyNumberFormat="1" applyFont="1" applyFill="1" applyBorder="1" applyAlignment="1">
      <alignment horizontal="center" vertical="center" wrapText="1"/>
    </xf>
    <xf numFmtId="4" fontId="22" fillId="3" borderId="19" xfId="0" applyNumberFormat="1" applyFont="1" applyFill="1" applyBorder="1" applyAlignment="1">
      <alignment horizontal="center" vertical="center" wrapText="1"/>
    </xf>
    <xf numFmtId="4" fontId="22" fillId="3" borderId="53" xfId="0" applyNumberFormat="1" applyFont="1" applyFill="1" applyBorder="1" applyAlignment="1">
      <alignment horizontal="center" vertical="center" wrapText="1"/>
    </xf>
    <xf numFmtId="4" fontId="22" fillId="0" borderId="54" xfId="0" applyNumberFormat="1" applyFont="1" applyBorder="1" applyAlignment="1">
      <alignment horizontal="center" vertical="center" wrapText="1"/>
    </xf>
    <xf numFmtId="4" fontId="22" fillId="3" borderId="4" xfId="0" applyNumberFormat="1" applyFont="1" applyFill="1" applyBorder="1" applyAlignment="1">
      <alignment horizontal="center" vertical="center" wrapText="1"/>
    </xf>
    <xf numFmtId="4" fontId="37" fillId="2" borderId="2" xfId="0" applyNumberFormat="1" applyFont="1" applyFill="1" applyBorder="1" applyAlignment="1">
      <alignment horizontal="center" vertical="center"/>
    </xf>
    <xf numFmtId="4" fontId="37" fillId="2" borderId="28" xfId="0" applyNumberFormat="1" applyFont="1" applyFill="1" applyBorder="1" applyAlignment="1">
      <alignment horizontal="right" wrapText="1"/>
    </xf>
    <xf numFmtId="4" fontId="30" fillId="2" borderId="2" xfId="0" applyNumberFormat="1" applyFont="1" applyFill="1" applyBorder="1" applyAlignment="1">
      <alignment horizontal="center" vertical="center"/>
    </xf>
    <xf numFmtId="4" fontId="30" fillId="2" borderId="28" xfId="0" applyNumberFormat="1" applyFont="1" applyFill="1" applyBorder="1" applyAlignment="1">
      <alignment horizontal="right" wrapText="1"/>
    </xf>
    <xf numFmtId="4" fontId="11" fillId="0" borderId="32" xfId="0" applyNumberFormat="1" applyFont="1" applyBorder="1" applyAlignment="1">
      <alignment horizontal="center" vertical="center" wrapText="1"/>
    </xf>
    <xf numFmtId="4" fontId="11" fillId="0" borderId="33" xfId="0" applyNumberFormat="1" applyFont="1" applyBorder="1" applyAlignment="1">
      <alignment horizontal="center" vertical="center" wrapText="1"/>
    </xf>
    <xf numFmtId="4" fontId="11" fillId="3" borderId="2" xfId="0" applyNumberFormat="1" applyFont="1" applyFill="1" applyBorder="1" applyAlignment="1">
      <alignment horizontal="center" vertical="center" wrapText="1"/>
    </xf>
    <xf numFmtId="4" fontId="11" fillId="3" borderId="57" xfId="0" applyNumberFormat="1" applyFont="1" applyFill="1" applyBorder="1" applyAlignment="1">
      <alignment horizontal="center" vertical="center" wrapText="1"/>
    </xf>
    <xf numFmtId="4" fontId="17" fillId="2" borderId="56" xfId="0" applyNumberFormat="1" applyFont="1" applyFill="1" applyBorder="1" applyAlignment="1">
      <alignment horizontal="center" vertical="center" wrapText="1"/>
    </xf>
    <xf numFmtId="4" fontId="17" fillId="3" borderId="20" xfId="0" applyNumberFormat="1" applyFont="1" applyFill="1" applyBorder="1" applyAlignment="1">
      <alignment horizontal="center" vertical="center" wrapText="1"/>
    </xf>
    <xf numFmtId="4" fontId="17" fillId="3" borderId="21" xfId="0" applyNumberFormat="1" applyFont="1" applyFill="1" applyBorder="1" applyAlignment="1">
      <alignment horizontal="center" vertical="center" wrapText="1"/>
    </xf>
    <xf numFmtId="4" fontId="17" fillId="3" borderId="22" xfId="0" applyNumberFormat="1" applyFont="1" applyFill="1" applyBorder="1" applyAlignment="1">
      <alignment horizontal="center" vertical="center" wrapText="1"/>
    </xf>
    <xf numFmtId="4" fontId="17" fillId="2" borderId="2" xfId="0" applyNumberFormat="1" applyFont="1" applyFill="1" applyBorder="1" applyAlignment="1">
      <alignment horizontal="center" vertical="center" wrapText="1"/>
    </xf>
    <xf numFmtId="4" fontId="17" fillId="3" borderId="28" xfId="0" applyNumberFormat="1" applyFont="1" applyFill="1" applyBorder="1" applyAlignment="1">
      <alignment horizontal="center" vertical="center" wrapText="1"/>
    </xf>
    <xf numFmtId="4" fontId="17" fillId="3" borderId="2" xfId="0" applyNumberFormat="1" applyFont="1" applyFill="1" applyBorder="1" applyAlignment="1">
      <alignment horizontal="center" vertical="center" wrapText="1"/>
    </xf>
    <xf numFmtId="4" fontId="30" fillId="2" borderId="3" xfId="0" applyNumberFormat="1" applyFont="1" applyFill="1" applyBorder="1" applyAlignment="1">
      <alignment horizontal="center" vertical="center"/>
    </xf>
    <xf numFmtId="4" fontId="30" fillId="2" borderId="30" xfId="0" applyNumberFormat="1" applyFont="1" applyFill="1" applyBorder="1" applyAlignment="1">
      <alignment horizontal="right" wrapText="1"/>
    </xf>
    <xf numFmtId="4" fontId="30" fillId="2" borderId="3" xfId="0" applyNumberFormat="1" applyFont="1" applyFill="1" applyBorder="1" applyAlignment="1">
      <alignment horizontal="center" vertical="center" wrapText="1"/>
    </xf>
    <xf numFmtId="4" fontId="17" fillId="2" borderId="74" xfId="0" applyNumberFormat="1" applyFont="1" applyFill="1" applyBorder="1" applyAlignment="1">
      <alignment horizontal="center" vertical="center" wrapText="1"/>
    </xf>
    <xf numFmtId="4" fontId="17" fillId="3" borderId="23" xfId="0" applyNumberFormat="1" applyFont="1" applyFill="1" applyBorder="1" applyAlignment="1">
      <alignment horizontal="center" vertical="center" wrapText="1"/>
    </xf>
    <xf numFmtId="4" fontId="17" fillId="3" borderId="24" xfId="0" applyNumberFormat="1" applyFont="1" applyFill="1" applyBorder="1" applyAlignment="1">
      <alignment horizontal="center" vertical="center" wrapText="1"/>
    </xf>
    <xf numFmtId="4" fontId="17" fillId="3" borderId="25" xfId="0" applyNumberFormat="1" applyFont="1" applyFill="1" applyBorder="1" applyAlignment="1">
      <alignment horizontal="center" vertical="center" wrapText="1"/>
    </xf>
    <xf numFmtId="4" fontId="17" fillId="2" borderId="3" xfId="0" applyNumberFormat="1" applyFont="1" applyFill="1" applyBorder="1" applyAlignment="1">
      <alignment horizontal="center" vertical="center" wrapText="1"/>
    </xf>
    <xf numFmtId="4" fontId="17" fillId="3" borderId="30" xfId="0" applyNumberFormat="1" applyFont="1" applyFill="1" applyBorder="1" applyAlignment="1">
      <alignment horizontal="center" vertical="center" wrapText="1"/>
    </xf>
    <xf numFmtId="4" fontId="17" fillId="3" borderId="75" xfId="0" applyNumberFormat="1" applyFont="1" applyFill="1" applyBorder="1" applyAlignment="1">
      <alignment horizontal="center" vertical="center" wrapText="1"/>
    </xf>
    <xf numFmtId="4" fontId="17" fillId="3" borderId="3" xfId="0" applyNumberFormat="1" applyFont="1" applyFill="1" applyBorder="1" applyAlignment="1">
      <alignment horizontal="center" vertical="center" wrapText="1"/>
    </xf>
    <xf numFmtId="4" fontId="37" fillId="0" borderId="20" xfId="0" applyNumberFormat="1" applyFont="1" applyBorder="1" applyAlignment="1">
      <alignment horizontal="center" vertical="center" wrapText="1"/>
    </xf>
    <xf numFmtId="4" fontId="37" fillId="0" borderId="21" xfId="0" applyNumberFormat="1" applyFont="1" applyBorder="1" applyAlignment="1">
      <alignment horizontal="center" vertical="center" wrapText="1"/>
    </xf>
    <xf numFmtId="4" fontId="37" fillId="0" borderId="22" xfId="0" applyNumberFormat="1" applyFont="1" applyBorder="1" applyAlignment="1">
      <alignment horizontal="center" vertical="center" wrapText="1"/>
    </xf>
    <xf numFmtId="4" fontId="37" fillId="0" borderId="28" xfId="0" applyNumberFormat="1" applyFont="1" applyBorder="1" applyAlignment="1">
      <alignment horizontal="center" vertical="center" wrapText="1"/>
    </xf>
    <xf numFmtId="4" fontId="37" fillId="0" borderId="57" xfId="0" applyNumberFormat="1" applyFont="1" applyBorder="1" applyAlignment="1">
      <alignment horizontal="center" vertical="center" wrapText="1"/>
    </xf>
    <xf numFmtId="4" fontId="37" fillId="0" borderId="2" xfId="0" applyNumberFormat="1" applyFont="1" applyBorder="1" applyAlignment="1">
      <alignment horizontal="center" vertical="center" wrapText="1"/>
    </xf>
    <xf numFmtId="4" fontId="37" fillId="2" borderId="3" xfId="0" applyNumberFormat="1" applyFont="1" applyFill="1" applyBorder="1" applyAlignment="1">
      <alignment horizontal="center" vertical="center"/>
    </xf>
    <xf numFmtId="4" fontId="37" fillId="2" borderId="74" xfId="0" applyNumberFormat="1" applyFont="1" applyFill="1" applyBorder="1" applyAlignment="1">
      <alignment horizontal="center" vertical="center" wrapText="1"/>
    </xf>
    <xf numFmtId="4" fontId="37" fillId="0" borderId="23" xfId="0" applyNumberFormat="1" applyFont="1" applyBorder="1" applyAlignment="1">
      <alignment horizontal="center" vertical="center" wrapText="1"/>
    </xf>
    <xf numFmtId="4" fontId="37" fillId="0" borderId="24" xfId="0" applyNumberFormat="1" applyFont="1" applyBorder="1" applyAlignment="1">
      <alignment horizontal="center" vertical="center" wrapText="1"/>
    </xf>
    <xf numFmtId="4" fontId="37" fillId="0" borderId="25" xfId="0" applyNumberFormat="1" applyFont="1" applyBorder="1" applyAlignment="1">
      <alignment horizontal="center" vertical="center" wrapText="1"/>
    </xf>
    <xf numFmtId="4" fontId="37" fillId="0" borderId="30" xfId="0" applyNumberFormat="1" applyFont="1" applyBorder="1" applyAlignment="1">
      <alignment horizontal="center" vertical="center" wrapText="1"/>
    </xf>
    <xf numFmtId="4" fontId="37" fillId="0" borderId="75" xfId="0" applyNumberFormat="1" applyFont="1" applyBorder="1" applyAlignment="1">
      <alignment horizontal="center" vertical="center" wrapText="1"/>
    </xf>
    <xf numFmtId="4" fontId="37" fillId="0" borderId="3" xfId="0" applyNumberFormat="1" applyFont="1" applyBorder="1" applyAlignment="1">
      <alignment horizontal="center" vertical="center" wrapText="1"/>
    </xf>
    <xf numFmtId="4" fontId="37" fillId="3" borderId="57" xfId="0"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xf>
    <xf numFmtId="4" fontId="37" fillId="2" borderId="31" xfId="0" applyNumberFormat="1" applyFont="1" applyFill="1" applyBorder="1" applyAlignment="1">
      <alignment horizontal="right" wrapText="1"/>
    </xf>
    <xf numFmtId="4" fontId="37" fillId="2" borderId="6" xfId="0" applyNumberFormat="1" applyFont="1" applyFill="1" applyBorder="1" applyAlignment="1">
      <alignment horizontal="center" vertical="center" wrapText="1"/>
    </xf>
    <xf numFmtId="4" fontId="37" fillId="2" borderId="83" xfId="0" applyNumberFormat="1" applyFont="1" applyFill="1" applyBorder="1" applyAlignment="1">
      <alignment horizontal="center" vertical="center" wrapText="1"/>
    </xf>
    <xf numFmtId="4" fontId="37" fillId="0" borderId="37" xfId="0" applyNumberFormat="1" applyFont="1" applyBorder="1" applyAlignment="1">
      <alignment horizontal="center" vertical="center" wrapText="1"/>
    </xf>
    <xf numFmtId="4" fontId="37" fillId="0" borderId="32" xfId="0" applyNumberFormat="1" applyFont="1" applyBorder="1" applyAlignment="1">
      <alignment horizontal="center" vertical="center" wrapText="1"/>
    </xf>
    <xf numFmtId="4" fontId="37" fillId="0" borderId="33" xfId="0" applyNumberFormat="1" applyFont="1" applyBorder="1" applyAlignment="1">
      <alignment horizontal="center" vertical="center" wrapText="1"/>
    </xf>
    <xf numFmtId="4" fontId="37" fillId="0" borderId="31" xfId="0" applyNumberFormat="1" applyFont="1" applyBorder="1" applyAlignment="1">
      <alignment horizontal="center" vertical="center" wrapText="1"/>
    </xf>
    <xf numFmtId="4" fontId="37" fillId="0" borderId="84" xfId="0" applyNumberFormat="1" applyFont="1" applyBorder="1" applyAlignment="1">
      <alignment horizontal="center" vertical="center" wrapText="1"/>
    </xf>
    <xf numFmtId="4" fontId="37" fillId="0" borderId="6" xfId="0" applyNumberFormat="1" applyFont="1" applyBorder="1" applyAlignment="1">
      <alignment horizontal="center" vertical="center" wrapText="1"/>
    </xf>
    <xf numFmtId="4" fontId="22" fillId="2" borderId="3" xfId="0" applyNumberFormat="1" applyFont="1" applyFill="1" applyBorder="1" applyAlignment="1" applyProtection="1">
      <alignment horizontal="center" vertical="center"/>
      <protection hidden="1"/>
    </xf>
    <xf numFmtId="4" fontId="22" fillId="2" borderId="30" xfId="0" applyNumberFormat="1" applyFont="1" applyFill="1" applyBorder="1" applyAlignment="1">
      <alignment horizontal="left" wrapText="1"/>
    </xf>
    <xf numFmtId="4" fontId="22" fillId="2" borderId="3" xfId="0" applyNumberFormat="1" applyFont="1" applyFill="1" applyBorder="1" applyAlignment="1">
      <alignment horizontal="center" vertical="center" wrapText="1"/>
    </xf>
    <xf numFmtId="4" fontId="22" fillId="2" borderId="74" xfId="0" applyNumberFormat="1" applyFont="1" applyFill="1" applyBorder="1" applyAlignment="1">
      <alignment horizontal="center" vertical="center" wrapText="1"/>
    </xf>
    <xf numFmtId="4" fontId="22" fillId="0" borderId="23" xfId="0" applyNumberFormat="1" applyFont="1" applyBorder="1" applyAlignment="1">
      <alignment horizontal="center" vertical="center" wrapText="1"/>
    </xf>
    <xf numFmtId="4" fontId="22" fillId="0" borderId="24" xfId="0" applyNumberFormat="1" applyFont="1" applyBorder="1" applyAlignment="1">
      <alignment horizontal="center" vertical="center" wrapText="1"/>
    </xf>
    <xf numFmtId="4" fontId="22" fillId="0" borderId="25" xfId="0" applyNumberFormat="1" applyFont="1" applyBorder="1" applyAlignment="1">
      <alignment horizontal="center" vertical="center" wrapText="1"/>
    </xf>
    <xf numFmtId="4" fontId="22" fillId="0" borderId="30" xfId="0" applyNumberFormat="1" applyFont="1" applyBorder="1" applyAlignment="1">
      <alignment horizontal="center" vertical="center" wrapText="1"/>
    </xf>
    <xf numFmtId="4" fontId="22" fillId="0" borderId="75" xfId="0" applyNumberFormat="1" applyFont="1" applyBorder="1" applyAlignment="1">
      <alignment horizontal="center" vertical="center" wrapText="1"/>
    </xf>
    <xf numFmtId="4" fontId="22" fillId="0" borderId="3" xfId="0" applyNumberFormat="1" applyFont="1" applyBorder="1" applyAlignment="1">
      <alignment horizontal="center" vertical="center" wrapText="1"/>
    </xf>
    <xf numFmtId="0" fontId="3" fillId="0" borderId="0" xfId="0" applyFont="1" applyAlignment="1">
      <alignment wrapText="1"/>
    </xf>
    <xf numFmtId="4" fontId="11" fillId="2" borderId="5" xfId="0" applyNumberFormat="1" applyFont="1" applyFill="1" applyBorder="1" applyAlignment="1" applyProtection="1">
      <alignment horizontal="center" vertical="center"/>
      <protection hidden="1"/>
    </xf>
    <xf numFmtId="4" fontId="11" fillId="2" borderId="27" xfId="0" applyNumberFormat="1" applyFont="1" applyFill="1" applyBorder="1" applyAlignment="1">
      <alignment horizontal="right" vertical="center" wrapText="1"/>
    </xf>
    <xf numFmtId="4" fontId="11" fillId="2" borderId="5" xfId="0" applyNumberFormat="1" applyFont="1" applyFill="1" applyBorder="1" applyAlignment="1">
      <alignment horizontal="center" vertical="center" wrapText="1"/>
    </xf>
    <xf numFmtId="4" fontId="11" fillId="2" borderId="50" xfId="0" applyNumberFormat="1" applyFont="1" applyFill="1" applyBorder="1" applyAlignment="1">
      <alignment horizontal="center" vertical="center" wrapText="1"/>
    </xf>
    <xf numFmtId="4" fontId="11" fillId="0" borderId="35" xfId="0" applyNumberFormat="1" applyFont="1" applyBorder="1" applyAlignment="1">
      <alignment horizontal="center" vertical="center" wrapText="1"/>
    </xf>
    <xf numFmtId="4" fontId="11" fillId="0" borderId="36" xfId="0" applyNumberFormat="1" applyFont="1" applyBorder="1" applyAlignment="1">
      <alignment horizontal="center" vertical="center" wrapText="1"/>
    </xf>
    <xf numFmtId="4" fontId="11" fillId="0" borderId="29" xfId="0" applyNumberFormat="1" applyFont="1" applyBorder="1" applyAlignment="1">
      <alignment horizontal="center" vertical="center" wrapText="1"/>
    </xf>
    <xf numFmtId="4" fontId="11" fillId="0" borderId="27" xfId="0" applyNumberFormat="1" applyFont="1" applyBorder="1" applyAlignment="1">
      <alignment horizontal="center" vertical="center" wrapText="1"/>
    </xf>
    <xf numFmtId="4" fontId="11" fillId="0" borderId="51" xfId="0" applyNumberFormat="1" applyFont="1" applyBorder="1" applyAlignment="1">
      <alignment horizontal="center" vertical="center" wrapText="1"/>
    </xf>
    <xf numFmtId="4" fontId="11" fillId="0" borderId="5" xfId="0" applyNumberFormat="1" applyFont="1" applyBorder="1" applyAlignment="1">
      <alignment horizontal="center" vertical="center" wrapText="1"/>
    </xf>
    <xf numFmtId="4" fontId="17" fillId="2" borderId="5" xfId="0" applyNumberFormat="1" applyFont="1" applyFill="1" applyBorder="1" applyAlignment="1" applyProtection="1">
      <alignment horizontal="center" vertical="center"/>
      <protection hidden="1"/>
    </xf>
    <xf numFmtId="4" fontId="17" fillId="2" borderId="27" xfId="0" applyNumberFormat="1" applyFont="1" applyFill="1" applyBorder="1" applyAlignment="1">
      <alignment horizontal="right" vertical="center" wrapText="1"/>
    </xf>
    <xf numFmtId="4" fontId="11" fillId="2" borderId="2" xfId="0" applyNumberFormat="1" applyFont="1" applyFill="1" applyBorder="1" applyAlignment="1">
      <alignment horizontal="center" vertical="center"/>
    </xf>
    <xf numFmtId="4" fontId="11" fillId="2" borderId="28" xfId="0" applyNumberFormat="1" applyFont="1" applyFill="1" applyBorder="1" applyAlignment="1">
      <alignment horizontal="right" wrapText="1"/>
    </xf>
    <xf numFmtId="4" fontId="11" fillId="2" borderId="3"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2" borderId="10" xfId="0" applyNumberFormat="1" applyFont="1" applyFill="1" applyBorder="1" applyAlignment="1">
      <alignment horizontal="center" vertical="center" wrapText="1"/>
    </xf>
    <xf numFmtId="4" fontId="11" fillId="0" borderId="75" xfId="0" applyNumberFormat="1" applyFont="1" applyBorder="1" applyAlignment="1">
      <alignment horizontal="center" vertical="center" wrapText="1"/>
    </xf>
    <xf numFmtId="4" fontId="11" fillId="0" borderId="23" xfId="0" applyNumberFormat="1" applyFont="1" applyBorder="1" applyAlignment="1">
      <alignment horizontal="center" vertical="center" wrapText="1"/>
    </xf>
    <xf numFmtId="4" fontId="11" fillId="0" borderId="24" xfId="0" applyNumberFormat="1" applyFont="1" applyBorder="1" applyAlignment="1">
      <alignment horizontal="center" vertical="center" wrapText="1"/>
    </xf>
    <xf numFmtId="4" fontId="11" fillId="0" borderId="25" xfId="0" applyNumberFormat="1" applyFont="1" applyBorder="1" applyAlignment="1">
      <alignment horizontal="center" vertical="center" wrapText="1"/>
    </xf>
    <xf numFmtId="4" fontId="11" fillId="0" borderId="30"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4" fontId="22" fillId="2" borderId="55" xfId="0" applyNumberFormat="1" applyFont="1" applyFill="1" applyBorder="1" applyAlignment="1">
      <alignment horizontal="left" vertical="center" wrapText="1"/>
    </xf>
    <xf numFmtId="167" fontId="22" fillId="2" borderId="2" xfId="0" applyNumberFormat="1" applyFont="1" applyFill="1" applyBorder="1" applyAlignment="1">
      <alignment horizontal="center" vertical="center" wrapText="1"/>
    </xf>
    <xf numFmtId="4" fontId="22" fillId="2" borderId="56" xfId="0" applyNumberFormat="1" applyFont="1" applyFill="1" applyBorder="1" applyAlignment="1">
      <alignment horizontal="center" vertical="center" wrapText="1"/>
    </xf>
    <xf numFmtId="4" fontId="22" fillId="2" borderId="20" xfId="0" applyNumberFormat="1" applyFont="1" applyFill="1" applyBorder="1" applyAlignment="1">
      <alignment horizontal="center" vertical="center" wrapText="1"/>
    </xf>
    <xf numFmtId="4" fontId="22" fillId="2" borderId="21" xfId="0" applyNumberFormat="1" applyFont="1" applyFill="1" applyBorder="1" applyAlignment="1">
      <alignment horizontal="center" vertical="center" wrapText="1"/>
    </xf>
    <xf numFmtId="4" fontId="22" fillId="2" borderId="22" xfId="0" applyNumberFormat="1" applyFont="1" applyFill="1" applyBorder="1" applyAlignment="1">
      <alignment horizontal="center" vertical="center" wrapText="1"/>
    </xf>
    <xf numFmtId="4" fontId="22" fillId="2" borderId="2" xfId="0" applyNumberFormat="1" applyFont="1" applyFill="1" applyBorder="1" applyAlignment="1">
      <alignment horizontal="center" vertical="center" wrapText="1"/>
    </xf>
    <xf numFmtId="4" fontId="22" fillId="2" borderId="28" xfId="0" applyNumberFormat="1" applyFont="1" applyFill="1" applyBorder="1" applyAlignment="1">
      <alignment horizontal="center" vertical="center" wrapText="1"/>
    </xf>
    <xf numFmtId="4" fontId="22" fillId="2" borderId="57" xfId="0" applyNumberFormat="1" applyFont="1" applyFill="1" applyBorder="1" applyAlignment="1">
      <alignment horizontal="center" vertical="center" wrapText="1"/>
    </xf>
    <xf numFmtId="167" fontId="11" fillId="0" borderId="2" xfId="0" applyNumberFormat="1" applyFont="1" applyBorder="1" applyAlignment="1">
      <alignment horizontal="center" vertical="center" wrapText="1"/>
    </xf>
    <xf numFmtId="4" fontId="16" fillId="2" borderId="4" xfId="0" applyNumberFormat="1" applyFont="1" applyFill="1" applyBorder="1" applyAlignment="1" applyProtection="1">
      <alignment horizontal="center" vertical="center"/>
      <protection hidden="1"/>
    </xf>
    <xf numFmtId="167" fontId="22" fillId="2" borderId="4" xfId="0" applyNumberFormat="1" applyFont="1" applyFill="1" applyBorder="1" applyAlignment="1">
      <alignment horizontal="center" vertical="center" wrapText="1"/>
    </xf>
    <xf numFmtId="167" fontId="11" fillId="0" borderId="3" xfId="0" applyNumberFormat="1" applyFont="1" applyBorder="1" applyAlignment="1">
      <alignment horizontal="center" vertical="center" wrapText="1"/>
    </xf>
    <xf numFmtId="167" fontId="17" fillId="0" borderId="2" xfId="0" applyNumberFormat="1" applyFont="1" applyBorder="1" applyAlignment="1">
      <alignment horizontal="center" vertical="center" wrapText="1"/>
    </xf>
    <xf numFmtId="4" fontId="17" fillId="2" borderId="20" xfId="0" applyNumberFormat="1" applyFont="1" applyFill="1" applyBorder="1" applyAlignment="1">
      <alignment horizontal="center" vertical="center" wrapText="1"/>
    </xf>
    <xf numFmtId="4" fontId="17" fillId="2" borderId="21" xfId="0" applyNumberFormat="1" applyFont="1" applyFill="1" applyBorder="1" applyAlignment="1">
      <alignment horizontal="center" vertical="center" wrapText="1"/>
    </xf>
    <xf numFmtId="4" fontId="17" fillId="2" borderId="22" xfId="0" applyNumberFormat="1" applyFont="1" applyFill="1" applyBorder="1" applyAlignment="1">
      <alignment horizontal="center" vertical="center" wrapText="1"/>
    </xf>
    <xf numFmtId="4" fontId="17" fillId="2" borderId="28" xfId="0" applyNumberFormat="1" applyFont="1" applyFill="1" applyBorder="1" applyAlignment="1">
      <alignment horizontal="center" vertical="center" wrapText="1"/>
    </xf>
    <xf numFmtId="4" fontId="17" fillId="2" borderId="57" xfId="0" applyNumberFormat="1" applyFont="1" applyFill="1" applyBorder="1" applyAlignment="1">
      <alignment horizontal="center" vertical="center" wrapText="1"/>
    </xf>
    <xf numFmtId="167" fontId="11" fillId="3" borderId="2" xfId="0" applyNumberFormat="1" applyFont="1" applyFill="1" applyBorder="1" applyAlignment="1">
      <alignment horizontal="center" vertical="center" wrapText="1"/>
    </xf>
    <xf numFmtId="167" fontId="11" fillId="3" borderId="3" xfId="0" applyNumberFormat="1" applyFont="1" applyFill="1" applyBorder="1" applyAlignment="1">
      <alignment horizontal="center" vertical="center" wrapText="1"/>
    </xf>
    <xf numFmtId="4" fontId="30" fillId="2" borderId="6" xfId="0" applyNumberFormat="1" applyFont="1" applyFill="1" applyBorder="1" applyAlignment="1">
      <alignment horizontal="center" vertical="center"/>
    </xf>
    <xf numFmtId="167" fontId="11" fillId="0" borderId="6" xfId="0" applyNumberFormat="1" applyFont="1" applyBorder="1" applyAlignment="1">
      <alignment horizontal="center" vertical="center" wrapText="1"/>
    </xf>
    <xf numFmtId="4" fontId="11" fillId="2" borderId="83" xfId="0" applyNumberFormat="1" applyFont="1" applyFill="1" applyBorder="1" applyAlignment="1">
      <alignment horizontal="center" vertical="center" wrapText="1"/>
    </xf>
    <xf numFmtId="4" fontId="11" fillId="2" borderId="37" xfId="0" applyNumberFormat="1" applyFont="1" applyFill="1" applyBorder="1" applyAlignment="1">
      <alignment horizontal="center" vertical="center" wrapText="1"/>
    </xf>
    <xf numFmtId="4" fontId="11" fillId="2" borderId="32"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11" fillId="2" borderId="84" xfId="0" applyNumberFormat="1" applyFont="1" applyFill="1" applyBorder="1" applyAlignment="1">
      <alignment horizontal="center" vertical="center" wrapText="1"/>
    </xf>
    <xf numFmtId="4" fontId="16" fillId="2" borderId="3" xfId="0" applyNumberFormat="1" applyFont="1" applyFill="1" applyBorder="1" applyAlignment="1" applyProtection="1">
      <alignment horizontal="center" vertical="center"/>
      <protection hidden="1"/>
    </xf>
    <xf numFmtId="167" fontId="22" fillId="0" borderId="3" xfId="0" applyNumberFormat="1" applyFont="1" applyBorder="1" applyAlignment="1">
      <alignment horizontal="center" vertical="center" wrapText="1"/>
    </xf>
    <xf numFmtId="4" fontId="22" fillId="2" borderId="23" xfId="0" applyNumberFormat="1" applyFont="1" applyFill="1" applyBorder="1" applyAlignment="1">
      <alignment horizontal="center" vertical="center" wrapText="1"/>
    </xf>
    <xf numFmtId="4" fontId="22" fillId="2" borderId="24" xfId="0" applyNumberFormat="1" applyFont="1" applyFill="1" applyBorder="1" applyAlignment="1">
      <alignment horizontal="center" vertical="center" wrapText="1"/>
    </xf>
    <xf numFmtId="4" fontId="22" fillId="2" borderId="25" xfId="0" applyNumberFormat="1" applyFont="1" applyFill="1" applyBorder="1" applyAlignment="1">
      <alignment horizontal="center" vertical="center" wrapText="1"/>
    </xf>
    <xf numFmtId="4" fontId="22" fillId="2" borderId="30" xfId="0" applyNumberFormat="1" applyFont="1" applyFill="1" applyBorder="1" applyAlignment="1">
      <alignment horizontal="center" vertical="center" wrapText="1"/>
    </xf>
    <xf numFmtId="4" fontId="22" fillId="2" borderId="75" xfId="0" applyNumberFormat="1" applyFont="1" applyFill="1" applyBorder="1" applyAlignment="1">
      <alignment horizontal="center" vertical="center" wrapText="1"/>
    </xf>
    <xf numFmtId="4" fontId="30" fillId="2" borderId="5" xfId="0" applyNumberFormat="1" applyFont="1" applyFill="1" applyBorder="1" applyAlignment="1" applyProtection="1">
      <alignment horizontal="center" vertical="center"/>
      <protection hidden="1"/>
    </xf>
    <xf numFmtId="4" fontId="37" fillId="2" borderId="27" xfId="0" applyNumberFormat="1" applyFont="1" applyFill="1" applyBorder="1" applyAlignment="1">
      <alignment horizontal="right" vertical="center" wrapText="1"/>
    </xf>
    <xf numFmtId="167" fontId="11" fillId="0" borderId="5" xfId="0" applyNumberFormat="1" applyFont="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6" xfId="0" applyNumberFormat="1" applyFont="1" applyFill="1" applyBorder="1" applyAlignment="1">
      <alignment horizontal="center" vertical="center" wrapText="1"/>
    </xf>
    <xf numFmtId="4" fontId="11" fillId="2" borderId="29"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wrapText="1"/>
    </xf>
    <xf numFmtId="4" fontId="11" fillId="2" borderId="51" xfId="0" applyNumberFormat="1" applyFont="1" applyFill="1" applyBorder="1" applyAlignment="1">
      <alignment horizontal="center" vertical="center" wrapText="1"/>
    </xf>
    <xf numFmtId="4" fontId="30" fillId="2" borderId="27" xfId="0" applyNumberFormat="1" applyFont="1" applyFill="1" applyBorder="1" applyAlignment="1">
      <alignment horizontal="right" vertical="center" wrapText="1"/>
    </xf>
    <xf numFmtId="4" fontId="37" fillId="2" borderId="30" xfId="0" applyNumberFormat="1" applyFont="1" applyFill="1" applyBorder="1" applyAlignment="1">
      <alignment horizontal="right" vertical="center" wrapText="1"/>
    </xf>
    <xf numFmtId="0" fontId="11" fillId="2" borderId="27" xfId="0" applyFont="1" applyFill="1" applyBorder="1" applyAlignment="1" applyProtection="1">
      <alignment horizontal="center" vertical="center"/>
      <protection hidden="1"/>
    </xf>
    <xf numFmtId="0" fontId="11" fillId="3" borderId="4" xfId="0" applyFont="1" applyFill="1" applyBorder="1" applyAlignment="1" applyProtection="1">
      <alignment horizontal="left" vertical="center" wrapText="1"/>
      <protection hidden="1"/>
    </xf>
    <xf numFmtId="2" fontId="22" fillId="2" borderId="4" xfId="0" applyNumberFormat="1" applyFont="1" applyFill="1" applyBorder="1" applyAlignment="1">
      <alignment horizontal="center" vertical="center" wrapText="1"/>
    </xf>
    <xf numFmtId="2" fontId="22" fillId="2" borderId="56" xfId="0" applyNumberFormat="1" applyFont="1" applyFill="1" applyBorder="1" applyAlignment="1">
      <alignment horizontal="center" vertical="center" wrapText="1"/>
    </xf>
    <xf numFmtId="2" fontId="22" fillId="2" borderId="85" xfId="0" applyNumberFormat="1" applyFont="1" applyFill="1" applyBorder="1" applyAlignment="1" applyProtection="1">
      <alignment horizontal="center" vertical="center" wrapText="1"/>
      <protection hidden="1"/>
    </xf>
    <xf numFmtId="2" fontId="22" fillId="2" borderId="2" xfId="0" applyNumberFormat="1" applyFont="1" applyFill="1" applyBorder="1" applyAlignment="1">
      <alignment horizontal="center" vertical="center" wrapText="1"/>
    </xf>
    <xf numFmtId="2" fontId="22" fillId="2" borderId="86" xfId="0" applyNumberFormat="1" applyFont="1" applyFill="1" applyBorder="1" applyAlignment="1" applyProtection="1">
      <alignment horizontal="center" vertical="center" wrapText="1"/>
      <protection hidden="1"/>
    </xf>
    <xf numFmtId="2" fontId="22" fillId="2" borderId="5" xfId="0" applyNumberFormat="1" applyFont="1" applyFill="1" applyBorder="1" applyAlignment="1" applyProtection="1">
      <alignment horizontal="center" vertical="center" wrapText="1"/>
      <protection hidden="1"/>
    </xf>
    <xf numFmtId="2" fontId="22" fillId="2" borderId="51" xfId="0" applyNumberFormat="1" applyFont="1" applyFill="1" applyBorder="1" applyAlignment="1" applyProtection="1">
      <alignment horizontal="center" vertical="center" wrapText="1"/>
      <protection hidden="1"/>
    </xf>
    <xf numFmtId="2" fontId="22" fillId="2" borderId="29" xfId="0" applyNumberFormat="1" applyFont="1" applyFill="1" applyBorder="1" applyAlignment="1" applyProtection="1">
      <alignment horizontal="center" vertical="center" wrapText="1"/>
      <protection hidden="1"/>
    </xf>
    <xf numFmtId="0" fontId="11" fillId="2" borderId="5" xfId="0" applyFont="1" applyFill="1" applyBorder="1" applyAlignment="1" applyProtection="1">
      <alignment horizontal="left" vertical="center" wrapText="1"/>
      <protection hidden="1"/>
    </xf>
    <xf numFmtId="2" fontId="11" fillId="2" borderId="2" xfId="0" applyNumberFormat="1" applyFont="1" applyFill="1" applyBorder="1" applyAlignment="1">
      <alignment horizontal="center" vertical="center" wrapText="1"/>
    </xf>
    <xf numFmtId="2" fontId="11" fillId="2" borderId="56" xfId="0" applyNumberFormat="1" applyFont="1" applyFill="1" applyBorder="1" applyAlignment="1">
      <alignment horizontal="center" vertical="center" wrapText="1"/>
    </xf>
    <xf numFmtId="2" fontId="17" fillId="0" borderId="85" xfId="0" applyNumberFormat="1" applyFont="1" applyBorder="1" applyAlignment="1" applyProtection="1">
      <alignment horizontal="center" vertical="center" wrapText="1"/>
      <protection hidden="1"/>
    </xf>
    <xf numFmtId="2" fontId="17" fillId="0" borderId="86" xfId="0" applyNumberFormat="1" applyFont="1" applyBorder="1" applyAlignment="1" applyProtection="1">
      <alignment horizontal="center" vertical="center" wrapText="1"/>
      <protection hidden="1"/>
    </xf>
    <xf numFmtId="2" fontId="17" fillId="2" borderId="5" xfId="0" applyNumberFormat="1" applyFont="1" applyFill="1" applyBorder="1" applyAlignment="1" applyProtection="1">
      <alignment horizontal="center" vertical="center" wrapText="1"/>
      <protection hidden="1"/>
    </xf>
    <xf numFmtId="2" fontId="17" fillId="0" borderId="51" xfId="0" applyNumberFormat="1" applyFont="1" applyBorder="1" applyAlignment="1" applyProtection="1">
      <alignment horizontal="center" vertical="center" wrapText="1"/>
      <protection hidden="1"/>
    </xf>
    <xf numFmtId="2" fontId="17" fillId="0" borderId="29" xfId="0" applyNumberFormat="1" applyFont="1" applyBorder="1" applyAlignment="1" applyProtection="1">
      <alignment horizontal="center" vertical="center" wrapText="1"/>
      <protection hidden="1"/>
    </xf>
    <xf numFmtId="0" fontId="17" fillId="2" borderId="87" xfId="0" applyFont="1" applyFill="1" applyBorder="1" applyAlignment="1" applyProtection="1">
      <alignment horizontal="center" vertical="center"/>
      <protection hidden="1"/>
    </xf>
    <xf numFmtId="4" fontId="17" fillId="2" borderId="6" xfId="0" applyNumberFormat="1" applyFont="1" applyFill="1" applyBorder="1" applyAlignment="1">
      <alignment horizontal="right" vertical="center" wrapText="1"/>
    </xf>
    <xf numFmtId="2" fontId="11" fillId="2" borderId="3" xfId="0" applyNumberFormat="1" applyFont="1" applyFill="1" applyBorder="1" applyAlignment="1">
      <alignment horizontal="center" vertical="center" wrapText="1"/>
    </xf>
    <xf numFmtId="2" fontId="11" fillId="2" borderId="74" xfId="0" applyNumberFormat="1" applyFont="1" applyFill="1" applyBorder="1" applyAlignment="1">
      <alignment horizontal="center" vertical="center" wrapText="1"/>
    </xf>
    <xf numFmtId="2" fontId="17" fillId="0" borderId="88" xfId="0" applyNumberFormat="1" applyFont="1" applyBorder="1" applyAlignment="1" applyProtection="1">
      <alignment horizontal="center" vertical="center" wrapText="1"/>
      <protection hidden="1"/>
    </xf>
    <xf numFmtId="2" fontId="17" fillId="2" borderId="10" xfId="0" applyNumberFormat="1" applyFont="1" applyFill="1" applyBorder="1" applyAlignment="1" applyProtection="1">
      <alignment horizontal="center" vertical="center" wrapText="1"/>
      <protection hidden="1"/>
    </xf>
    <xf numFmtId="2" fontId="17" fillId="0" borderId="89" xfId="0" applyNumberFormat="1" applyFont="1" applyBorder="1" applyAlignment="1" applyProtection="1">
      <alignment horizontal="center" vertical="center" wrapText="1"/>
      <protection hidden="1"/>
    </xf>
    <xf numFmtId="2" fontId="17" fillId="0" borderId="90" xfId="0" applyNumberFormat="1" applyFont="1" applyBorder="1" applyAlignment="1" applyProtection="1">
      <alignment horizontal="center" vertical="center" wrapText="1"/>
      <protection hidden="1"/>
    </xf>
    <xf numFmtId="0" fontId="17" fillId="2" borderId="53" xfId="0" applyFont="1" applyFill="1" applyBorder="1" applyAlignment="1" applyProtection="1">
      <alignment horizontal="center" vertical="center"/>
      <protection hidden="1"/>
    </xf>
    <xf numFmtId="0" fontId="17" fillId="3" borderId="53" xfId="0" applyFont="1" applyFill="1" applyBorder="1" applyAlignment="1" applyProtection="1">
      <alignment horizontal="left" vertical="center" wrapText="1"/>
      <protection hidden="1"/>
    </xf>
    <xf numFmtId="2" fontId="16" fillId="2" borderId="4" xfId="0" applyNumberFormat="1" applyFont="1" applyFill="1" applyBorder="1" applyAlignment="1">
      <alignment horizontal="center" vertical="center" wrapText="1"/>
    </xf>
    <xf numFmtId="2" fontId="16" fillId="2" borderId="52" xfId="0" applyNumberFormat="1" applyFont="1" applyFill="1" applyBorder="1" applyAlignment="1">
      <alignment horizontal="center" vertical="center" wrapText="1"/>
    </xf>
    <xf numFmtId="2" fontId="16" fillId="2" borderId="91" xfId="0" applyNumberFormat="1" applyFont="1" applyFill="1" applyBorder="1" applyAlignment="1" applyProtection="1">
      <alignment horizontal="center" vertical="center" wrapText="1"/>
      <protection hidden="1"/>
    </xf>
    <xf numFmtId="2" fontId="16" fillId="2" borderId="92" xfId="0" applyNumberFormat="1" applyFont="1" applyFill="1" applyBorder="1" applyAlignment="1" applyProtection="1">
      <alignment horizontal="center" vertical="center" wrapText="1"/>
      <protection hidden="1"/>
    </xf>
    <xf numFmtId="2" fontId="16" fillId="2" borderId="4" xfId="0" applyNumberFormat="1" applyFont="1" applyFill="1" applyBorder="1" applyAlignment="1" applyProtection="1">
      <alignment horizontal="center" vertical="center" wrapText="1"/>
      <protection hidden="1"/>
    </xf>
    <xf numFmtId="2" fontId="16" fillId="2" borderId="54" xfId="0" applyNumberFormat="1" applyFont="1" applyFill="1" applyBorder="1" applyAlignment="1" applyProtection="1">
      <alignment horizontal="center" vertical="center" wrapText="1"/>
      <protection hidden="1"/>
    </xf>
    <xf numFmtId="2" fontId="16" fillId="2" borderId="19" xfId="0" applyNumberFormat="1" applyFont="1" applyFill="1" applyBorder="1" applyAlignment="1" applyProtection="1">
      <alignment horizontal="center" vertical="center" wrapText="1"/>
      <protection hidden="1"/>
    </xf>
    <xf numFmtId="0" fontId="17" fillId="2" borderId="28" xfId="0" applyFont="1" applyFill="1" applyBorder="1" applyAlignment="1" applyProtection="1">
      <alignment horizontal="center" vertical="center"/>
      <protection hidden="1"/>
    </xf>
    <xf numFmtId="0" fontId="17" fillId="2" borderId="28" xfId="0" applyFont="1" applyFill="1" applyBorder="1" applyAlignment="1" applyProtection="1">
      <alignment horizontal="left" vertical="center" wrapText="1"/>
      <protection hidden="1"/>
    </xf>
    <xf numFmtId="2" fontId="17" fillId="2" borderId="2" xfId="0" applyNumberFormat="1" applyFont="1" applyFill="1" applyBorder="1" applyAlignment="1">
      <alignment horizontal="center" vertical="center" wrapText="1"/>
    </xf>
    <xf numFmtId="2" fontId="17" fillId="2" borderId="56" xfId="0" applyNumberFormat="1" applyFont="1" applyFill="1" applyBorder="1" applyAlignment="1">
      <alignment horizontal="center" vertical="center" wrapText="1"/>
    </xf>
    <xf numFmtId="0" fontId="17" fillId="2" borderId="30" xfId="0" applyFont="1" applyFill="1" applyBorder="1" applyAlignment="1" applyProtection="1">
      <alignment horizontal="center" vertical="center"/>
      <protection hidden="1"/>
    </xf>
    <xf numFmtId="0" fontId="17" fillId="2" borderId="30" xfId="0" applyFont="1" applyFill="1" applyBorder="1" applyAlignment="1" applyProtection="1">
      <alignment horizontal="left" vertical="center" wrapText="1"/>
      <protection hidden="1"/>
    </xf>
    <xf numFmtId="2" fontId="17" fillId="2" borderId="3" xfId="0" applyNumberFormat="1" applyFont="1" applyFill="1" applyBorder="1" applyAlignment="1">
      <alignment horizontal="center" vertical="center" wrapText="1"/>
    </xf>
    <xf numFmtId="2" fontId="17" fillId="2" borderId="74" xfId="0" applyNumberFormat="1" applyFont="1" applyFill="1" applyBorder="1" applyAlignment="1">
      <alignment horizontal="center" vertical="center" wrapText="1"/>
    </xf>
    <xf numFmtId="2" fontId="17" fillId="0" borderId="0" xfId="0" applyNumberFormat="1" applyFont="1" applyAlignment="1" applyProtection="1">
      <alignment horizontal="center" vertical="center" wrapText="1"/>
      <protection hidden="1"/>
    </xf>
    <xf numFmtId="0" fontId="17" fillId="2" borderId="31" xfId="0" applyFont="1" applyFill="1" applyBorder="1" applyAlignment="1" applyProtection="1">
      <alignment horizontal="center" vertical="center"/>
      <protection hidden="1"/>
    </xf>
    <xf numFmtId="0" fontId="17" fillId="2" borderId="6" xfId="0" applyFont="1" applyFill="1" applyBorder="1" applyAlignment="1" applyProtection="1">
      <alignment horizontal="left" vertical="center" wrapText="1"/>
      <protection hidden="1"/>
    </xf>
    <xf numFmtId="0" fontId="17" fillId="2" borderId="27" xfId="0" applyFont="1" applyFill="1" applyBorder="1" applyAlignment="1" applyProtection="1">
      <alignment horizontal="center" vertical="center"/>
      <protection hidden="1"/>
    </xf>
    <xf numFmtId="0" fontId="11" fillId="3" borderId="27" xfId="0" applyFont="1" applyFill="1" applyBorder="1" applyAlignment="1" applyProtection="1">
      <alignment horizontal="left" vertical="center" wrapText="1"/>
      <protection hidden="1"/>
    </xf>
    <xf numFmtId="0" fontId="17" fillId="2" borderId="38" xfId="0" applyFont="1" applyFill="1" applyBorder="1" applyAlignment="1" applyProtection="1">
      <alignment horizontal="center" vertical="center"/>
      <protection hidden="1"/>
    </xf>
    <xf numFmtId="0" fontId="11" fillId="3" borderId="1" xfId="0" applyFont="1" applyFill="1" applyBorder="1" applyAlignment="1" applyProtection="1">
      <alignment horizontal="left" vertical="center" wrapText="1"/>
      <protection hidden="1"/>
    </xf>
    <xf numFmtId="2" fontId="17" fillId="2" borderId="1" xfId="0" applyNumberFormat="1" applyFont="1" applyFill="1" applyBorder="1" applyAlignment="1">
      <alignment horizontal="center" vertical="center" wrapText="1"/>
    </xf>
    <xf numFmtId="2" fontId="17" fillId="2" borderId="39" xfId="0" applyNumberFormat="1" applyFont="1" applyFill="1" applyBorder="1" applyAlignment="1">
      <alignment horizontal="center" vertical="center" wrapText="1"/>
    </xf>
    <xf numFmtId="2" fontId="17" fillId="0" borderId="93" xfId="0" applyNumberFormat="1" applyFont="1" applyBorder="1" applyAlignment="1" applyProtection="1">
      <alignment horizontal="center" vertical="center" wrapText="1"/>
      <protection hidden="1"/>
    </xf>
    <xf numFmtId="2" fontId="17" fillId="0" borderId="94" xfId="0" applyNumberFormat="1" applyFont="1" applyBorder="1" applyAlignment="1" applyProtection="1">
      <alignment horizontal="center" vertical="center" wrapText="1"/>
      <protection hidden="1"/>
    </xf>
    <xf numFmtId="2" fontId="17" fillId="2" borderId="1" xfId="0" applyNumberFormat="1" applyFont="1" applyFill="1" applyBorder="1" applyAlignment="1" applyProtection="1">
      <alignment horizontal="center" vertical="center" wrapText="1"/>
      <protection hidden="1"/>
    </xf>
    <xf numFmtId="2" fontId="17" fillId="0" borderId="41" xfId="0" applyNumberFormat="1" applyFont="1" applyBorder="1" applyAlignment="1" applyProtection="1">
      <alignment horizontal="center" vertical="center" wrapText="1"/>
      <protection hidden="1"/>
    </xf>
    <xf numFmtId="2" fontId="17" fillId="0" borderId="13" xfId="0" applyNumberFormat="1" applyFont="1" applyBorder="1" applyAlignment="1" applyProtection="1">
      <alignment horizontal="center" vertical="center" wrapText="1"/>
      <protection hidden="1"/>
    </xf>
    <xf numFmtId="4" fontId="17" fillId="2" borderId="28" xfId="0" applyNumberFormat="1" applyFont="1" applyFill="1" applyBorder="1" applyAlignment="1">
      <alignment horizontal="left" wrapText="1"/>
    </xf>
    <xf numFmtId="2" fontId="17" fillId="0" borderId="95" xfId="0" applyNumberFormat="1" applyFont="1" applyBorder="1" applyAlignment="1" applyProtection="1">
      <alignment horizontal="center" vertical="center" wrapText="1"/>
      <protection hidden="1"/>
    </xf>
    <xf numFmtId="2" fontId="17" fillId="0" borderId="96" xfId="0" applyNumberFormat="1" applyFont="1" applyBorder="1" applyAlignment="1" applyProtection="1">
      <alignment horizontal="center" vertical="center" wrapText="1"/>
      <protection hidden="1"/>
    </xf>
    <xf numFmtId="2" fontId="17" fillId="2" borderId="2" xfId="0" applyNumberFormat="1" applyFont="1" applyFill="1" applyBorder="1" applyAlignment="1" applyProtection="1">
      <alignment horizontal="center" vertical="center" wrapText="1"/>
      <protection hidden="1"/>
    </xf>
    <xf numFmtId="2" fontId="17" fillId="0" borderId="57" xfId="0" applyNumberFormat="1" applyFont="1" applyBorder="1" applyAlignment="1" applyProtection="1">
      <alignment horizontal="center" vertical="center" wrapText="1"/>
      <protection hidden="1"/>
    </xf>
    <xf numFmtId="2" fontId="17" fillId="0" borderId="22" xfId="0" applyNumberFormat="1" applyFont="1" applyBorder="1" applyAlignment="1" applyProtection="1">
      <alignment horizontal="center" vertical="center" wrapText="1"/>
      <protection hidden="1"/>
    </xf>
    <xf numFmtId="0" fontId="17" fillId="3" borderId="38" xfId="0" applyFont="1" applyFill="1" applyBorder="1" applyAlignment="1" applyProtection="1">
      <alignment horizontal="left" vertical="center" wrapText="1"/>
      <protection hidden="1"/>
    </xf>
    <xf numFmtId="0" fontId="17" fillId="2" borderId="62" xfId="0" applyFont="1" applyFill="1" applyBorder="1" applyAlignment="1" applyProtection="1">
      <alignment horizontal="center" vertical="center"/>
      <protection hidden="1"/>
    </xf>
    <xf numFmtId="0" fontId="17" fillId="3" borderId="62" xfId="0" applyFont="1" applyFill="1" applyBorder="1" applyAlignment="1" applyProtection="1">
      <alignment horizontal="left" vertical="center" wrapText="1"/>
      <protection hidden="1"/>
    </xf>
    <xf numFmtId="2" fontId="17" fillId="2" borderId="61" xfId="0" applyNumberFormat="1" applyFont="1" applyFill="1" applyBorder="1" applyAlignment="1">
      <alignment horizontal="center" vertical="center" wrapText="1"/>
    </xf>
    <xf numFmtId="2" fontId="17" fillId="2" borderId="63" xfId="0" applyNumberFormat="1" applyFont="1" applyFill="1" applyBorder="1" applyAlignment="1">
      <alignment horizontal="center" vertical="center" wrapText="1"/>
    </xf>
    <xf numFmtId="2" fontId="17" fillId="0" borderId="97" xfId="0" applyNumberFormat="1" applyFont="1" applyBorder="1" applyAlignment="1" applyProtection="1">
      <alignment horizontal="center" vertical="center" wrapText="1"/>
      <protection hidden="1"/>
    </xf>
    <xf numFmtId="2" fontId="17" fillId="0" borderId="98" xfId="0" applyNumberFormat="1" applyFont="1" applyBorder="1" applyAlignment="1" applyProtection="1">
      <alignment horizontal="center" vertical="center" wrapText="1"/>
      <protection hidden="1"/>
    </xf>
    <xf numFmtId="2" fontId="17" fillId="2" borderId="61" xfId="0" applyNumberFormat="1" applyFont="1" applyFill="1" applyBorder="1" applyAlignment="1" applyProtection="1">
      <alignment horizontal="center" vertical="center" wrapText="1"/>
      <protection hidden="1"/>
    </xf>
    <xf numFmtId="2" fontId="17" fillId="0" borderId="66" xfId="0" applyNumberFormat="1" applyFont="1" applyBorder="1" applyAlignment="1" applyProtection="1">
      <alignment horizontal="center" vertical="center" wrapText="1"/>
      <protection hidden="1"/>
    </xf>
    <xf numFmtId="2" fontId="17" fillId="0" borderId="40" xfId="0" applyNumberFormat="1" applyFont="1" applyBorder="1" applyAlignment="1" applyProtection="1">
      <alignment horizontal="center" vertical="center" wrapText="1"/>
      <protection hidden="1"/>
    </xf>
    <xf numFmtId="168" fontId="22" fillId="2" borderId="48" xfId="0" applyNumberFormat="1" applyFont="1" applyFill="1" applyBorder="1" applyAlignment="1" applyProtection="1">
      <alignment horizontal="center" vertical="center"/>
      <protection hidden="1"/>
    </xf>
    <xf numFmtId="4" fontId="22" fillId="2" borderId="99" xfId="0" applyNumberFormat="1" applyFont="1" applyFill="1" applyBorder="1" applyAlignment="1" applyProtection="1">
      <alignment horizontal="center" vertical="center"/>
      <protection hidden="1"/>
    </xf>
    <xf numFmtId="4" fontId="22" fillId="2" borderId="99" xfId="0" applyNumberFormat="1" applyFont="1" applyFill="1" applyBorder="1" applyAlignment="1">
      <alignment horizontal="left" vertical="center" wrapText="1"/>
    </xf>
    <xf numFmtId="167" fontId="22" fillId="2" borderId="99" xfId="0" applyNumberFormat="1" applyFont="1" applyFill="1" applyBorder="1" applyAlignment="1" applyProtection="1">
      <alignment horizontal="center" vertical="center"/>
      <protection hidden="1"/>
    </xf>
    <xf numFmtId="4" fontId="22" fillId="2" borderId="100" xfId="0" applyNumberFormat="1" applyFont="1" applyFill="1" applyBorder="1" applyAlignment="1" applyProtection="1">
      <alignment horizontal="center" vertical="center"/>
      <protection hidden="1"/>
    </xf>
    <xf numFmtId="4" fontId="22" fillId="2" borderId="101" xfId="0" applyNumberFormat="1" applyFont="1" applyFill="1" applyBorder="1" applyAlignment="1" applyProtection="1">
      <alignment horizontal="center" vertical="center"/>
      <protection hidden="1"/>
    </xf>
    <xf numFmtId="4" fontId="22" fillId="2" borderId="102" xfId="0" applyNumberFormat="1" applyFont="1" applyFill="1" applyBorder="1" applyAlignment="1" applyProtection="1">
      <alignment horizontal="center" vertical="center"/>
      <protection hidden="1"/>
    </xf>
    <xf numFmtId="4" fontId="22" fillId="2" borderId="103" xfId="0" applyNumberFormat="1" applyFont="1" applyFill="1" applyBorder="1" applyAlignment="1" applyProtection="1">
      <alignment horizontal="center" vertical="center"/>
      <protection hidden="1"/>
    </xf>
    <xf numFmtId="4" fontId="22" fillId="2" borderId="104" xfId="0" applyNumberFormat="1" applyFont="1" applyFill="1" applyBorder="1" applyAlignment="1" applyProtection="1">
      <alignment horizontal="center" vertical="center"/>
      <protection hidden="1"/>
    </xf>
    <xf numFmtId="168" fontId="22" fillId="2" borderId="105" xfId="0" applyNumberFormat="1" applyFont="1" applyFill="1" applyBorder="1" applyAlignment="1" applyProtection="1">
      <alignment horizontal="center" vertical="center"/>
      <protection hidden="1"/>
    </xf>
    <xf numFmtId="2" fontId="3" fillId="0" borderId="0" xfId="0" applyNumberFormat="1" applyFont="1"/>
    <xf numFmtId="4" fontId="30" fillId="2" borderId="2" xfId="0" applyNumberFormat="1" applyFont="1" applyFill="1" applyBorder="1" applyAlignment="1" applyProtection="1">
      <alignment horizontal="center" vertical="center" wrapText="1"/>
      <protection hidden="1"/>
    </xf>
    <xf numFmtId="4" fontId="17" fillId="2" borderId="56" xfId="0" applyNumberFormat="1" applyFont="1" applyFill="1" applyBorder="1" applyAlignment="1" applyProtection="1">
      <alignment horizontal="center" vertical="center"/>
      <protection hidden="1"/>
    </xf>
    <xf numFmtId="4" fontId="17" fillId="2" borderId="20" xfId="0" applyNumberFormat="1" applyFont="1" applyFill="1" applyBorder="1" applyAlignment="1" applyProtection="1">
      <alignment horizontal="center" vertical="center"/>
      <protection hidden="1"/>
    </xf>
    <xf numFmtId="4" fontId="17" fillId="2" borderId="21" xfId="0" applyNumberFormat="1" applyFont="1" applyFill="1" applyBorder="1" applyAlignment="1" applyProtection="1">
      <alignment horizontal="center" vertical="center"/>
      <protection hidden="1"/>
    </xf>
    <xf numFmtId="4" fontId="17" fillId="2" borderId="22" xfId="0" applyNumberFormat="1" applyFont="1" applyFill="1" applyBorder="1" applyAlignment="1" applyProtection="1">
      <alignment horizontal="center" vertical="center"/>
      <protection hidden="1"/>
    </xf>
    <xf numFmtId="4" fontId="17" fillId="2" borderId="2" xfId="0" applyNumberFormat="1" applyFont="1" applyFill="1" applyBorder="1" applyAlignment="1" applyProtection="1">
      <alignment horizontal="center" vertical="center"/>
      <protection hidden="1"/>
    </xf>
    <xf numFmtId="4" fontId="17" fillId="2" borderId="28" xfId="0" applyNumberFormat="1" applyFont="1" applyFill="1" applyBorder="1" applyAlignment="1" applyProtection="1">
      <alignment horizontal="center" vertical="center"/>
      <protection hidden="1"/>
    </xf>
    <xf numFmtId="168" fontId="17" fillId="2" borderId="57" xfId="0" applyNumberFormat="1" applyFont="1" applyFill="1" applyBorder="1" applyAlignment="1" applyProtection="1">
      <alignment horizontal="center" vertical="center"/>
      <protection hidden="1"/>
    </xf>
    <xf numFmtId="0" fontId="2" fillId="0" borderId="0" xfId="0" applyFont="1"/>
    <xf numFmtId="167" fontId="22" fillId="2" borderId="4" xfId="0" applyNumberFormat="1" applyFont="1" applyFill="1" applyBorder="1" applyAlignment="1" applyProtection="1">
      <alignment horizontal="center" vertical="center" wrapText="1"/>
      <protection hidden="1"/>
    </xf>
    <xf numFmtId="4" fontId="22" fillId="2" borderId="52" xfId="0" applyNumberFormat="1" applyFont="1" applyFill="1" applyBorder="1" applyAlignment="1" applyProtection="1">
      <alignment horizontal="center" vertical="center" wrapText="1"/>
      <protection hidden="1"/>
    </xf>
    <xf numFmtId="4" fontId="22" fillId="2" borderId="17" xfId="0" applyNumberFormat="1" applyFont="1" applyFill="1" applyBorder="1" applyAlignment="1" applyProtection="1">
      <alignment horizontal="center" vertical="center" wrapText="1"/>
      <protection hidden="1"/>
    </xf>
    <xf numFmtId="4" fontId="22" fillId="2" borderId="18" xfId="0" applyNumberFormat="1" applyFont="1" applyFill="1" applyBorder="1" applyAlignment="1" applyProtection="1">
      <alignment horizontal="center" vertical="center" wrapText="1"/>
      <protection hidden="1"/>
    </xf>
    <xf numFmtId="4" fontId="22" fillId="2" borderId="19" xfId="0" applyNumberFormat="1" applyFont="1" applyFill="1" applyBorder="1" applyAlignment="1" applyProtection="1">
      <alignment horizontal="center" vertical="center" wrapText="1"/>
      <protection hidden="1"/>
    </xf>
    <xf numFmtId="4" fontId="22" fillId="2" borderId="4" xfId="0" applyNumberFormat="1" applyFont="1" applyFill="1" applyBorder="1" applyAlignment="1" applyProtection="1">
      <alignment horizontal="center" vertical="center" wrapText="1"/>
      <protection hidden="1"/>
    </xf>
    <xf numFmtId="4" fontId="22" fillId="2" borderId="53" xfId="0" applyNumberFormat="1" applyFont="1" applyFill="1" applyBorder="1" applyAlignment="1" applyProtection="1">
      <alignment horizontal="center" vertical="center" wrapText="1"/>
      <protection hidden="1"/>
    </xf>
    <xf numFmtId="168" fontId="22" fillId="2" borderId="54" xfId="0" applyNumberFormat="1" applyFont="1" applyFill="1" applyBorder="1" applyAlignment="1" applyProtection="1">
      <alignment horizontal="center" vertical="center" wrapText="1"/>
      <protection hidden="1"/>
    </xf>
    <xf numFmtId="169" fontId="36" fillId="0" borderId="0" xfId="0" applyNumberFormat="1" applyFont="1"/>
    <xf numFmtId="168" fontId="11" fillId="2" borderId="57" xfId="0" applyNumberFormat="1" applyFont="1" applyFill="1" applyBorder="1" applyAlignment="1">
      <alignment horizontal="center" vertical="center" wrapText="1"/>
    </xf>
    <xf numFmtId="4" fontId="37" fillId="2" borderId="106" xfId="0" applyNumberFormat="1" applyFont="1" applyFill="1" applyBorder="1" applyAlignment="1">
      <alignment horizontal="center" vertical="center"/>
    </xf>
    <xf numFmtId="4" fontId="37" fillId="2" borderId="107" xfId="0" applyNumberFormat="1" applyFont="1" applyFill="1" applyBorder="1" applyAlignment="1">
      <alignment horizontal="right" vertical="center" wrapText="1"/>
    </xf>
    <xf numFmtId="168" fontId="11" fillId="2" borderId="84" xfId="0" applyNumberFormat="1" applyFont="1" applyFill="1" applyBorder="1" applyAlignment="1">
      <alignment horizontal="center" vertical="center" wrapText="1"/>
    </xf>
    <xf numFmtId="167" fontId="22" fillId="2" borderId="5" xfId="0" applyNumberFormat="1" applyFont="1" applyFill="1" applyBorder="1" applyAlignment="1">
      <alignment horizontal="center" vertical="center" wrapText="1"/>
    </xf>
    <xf numFmtId="168" fontId="22" fillId="2" borderId="51" xfId="0" applyNumberFormat="1" applyFont="1" applyFill="1" applyBorder="1" applyAlignment="1">
      <alignment horizontal="center" vertical="center" wrapText="1"/>
    </xf>
    <xf numFmtId="170" fontId="36" fillId="0" borderId="0" xfId="0" applyNumberFormat="1" applyFont="1"/>
    <xf numFmtId="4" fontId="16" fillId="2" borderId="53" xfId="0" applyNumberFormat="1" applyFont="1" applyFill="1" applyBorder="1" applyAlignment="1">
      <alignment horizontal="left" vertical="center" wrapText="1"/>
    </xf>
    <xf numFmtId="167" fontId="16" fillId="2" borderId="4" xfId="0" applyNumberFormat="1" applyFont="1" applyFill="1" applyBorder="1" applyAlignment="1" applyProtection="1">
      <alignment horizontal="center" vertical="center" wrapText="1"/>
      <protection hidden="1"/>
    </xf>
    <xf numFmtId="4" fontId="16" fillId="2" borderId="52" xfId="0" applyNumberFormat="1" applyFont="1" applyFill="1" applyBorder="1" applyAlignment="1" applyProtection="1">
      <alignment horizontal="center" vertical="center" wrapText="1"/>
      <protection hidden="1"/>
    </xf>
    <xf numFmtId="4" fontId="16" fillId="2" borderId="17" xfId="0" applyNumberFormat="1" applyFont="1" applyFill="1" applyBorder="1" applyAlignment="1" applyProtection="1">
      <alignment horizontal="center" vertical="center" wrapText="1"/>
      <protection hidden="1"/>
    </xf>
    <xf numFmtId="4" fontId="16" fillId="2" borderId="18" xfId="0" applyNumberFormat="1" applyFont="1" applyFill="1" applyBorder="1" applyAlignment="1" applyProtection="1">
      <alignment horizontal="center" vertical="center" wrapText="1"/>
      <protection hidden="1"/>
    </xf>
    <xf numFmtId="4" fontId="16" fillId="2" borderId="19" xfId="0" applyNumberFormat="1" applyFont="1" applyFill="1" applyBorder="1" applyAlignment="1" applyProtection="1">
      <alignment horizontal="center" vertical="center" wrapText="1"/>
      <protection hidden="1"/>
    </xf>
    <xf numFmtId="4" fontId="16" fillId="2" borderId="4" xfId="0" applyNumberFormat="1" applyFont="1" applyFill="1" applyBorder="1" applyAlignment="1" applyProtection="1">
      <alignment horizontal="center" vertical="center" wrapText="1"/>
      <protection hidden="1"/>
    </xf>
    <xf numFmtId="4" fontId="16" fillId="2" borderId="53" xfId="0" applyNumberFormat="1" applyFont="1" applyFill="1" applyBorder="1" applyAlignment="1" applyProtection="1">
      <alignment horizontal="center" vertical="center" wrapText="1"/>
      <protection hidden="1"/>
    </xf>
    <xf numFmtId="168" fontId="16" fillId="2" borderId="54" xfId="0" applyNumberFormat="1" applyFont="1" applyFill="1" applyBorder="1" applyAlignment="1" applyProtection="1">
      <alignment horizontal="center" vertical="center" wrapText="1"/>
      <protection hidden="1"/>
    </xf>
    <xf numFmtId="168" fontId="17" fillId="2" borderId="57" xfId="0" applyNumberFormat="1" applyFont="1" applyFill="1" applyBorder="1" applyAlignment="1">
      <alignment horizontal="center" vertical="center" wrapText="1"/>
    </xf>
    <xf numFmtId="4" fontId="30" fillId="2" borderId="75" xfId="0" applyNumberFormat="1" applyFont="1" applyFill="1" applyBorder="1" applyAlignment="1">
      <alignment horizontal="right" wrapText="1"/>
    </xf>
    <xf numFmtId="4" fontId="16" fillId="2" borderId="53" xfId="0" applyNumberFormat="1" applyFont="1" applyFill="1" applyBorder="1" applyAlignment="1">
      <alignment horizontal="left" wrapText="1"/>
    </xf>
    <xf numFmtId="168" fontId="36" fillId="0" borderId="0" xfId="0" applyNumberFormat="1" applyFont="1"/>
    <xf numFmtId="167" fontId="11" fillId="2" borderId="2" xfId="0" applyNumberFormat="1" applyFont="1" applyFill="1" applyBorder="1" applyAlignment="1">
      <alignment horizontal="center" vertical="center" wrapText="1"/>
    </xf>
    <xf numFmtId="167" fontId="22" fillId="0" borderId="4" xfId="0" applyNumberFormat="1" applyFont="1" applyBorder="1" applyAlignment="1" applyProtection="1">
      <alignment horizontal="center" vertical="center" wrapText="1"/>
      <protection hidden="1"/>
    </xf>
    <xf numFmtId="171" fontId="22" fillId="2" borderId="19" xfId="0" applyNumberFormat="1" applyFont="1" applyFill="1" applyBorder="1" applyAlignment="1" applyProtection="1">
      <alignment horizontal="center" vertical="center" wrapText="1"/>
      <protection hidden="1"/>
    </xf>
    <xf numFmtId="4" fontId="37" fillId="2" borderId="5" xfId="0" applyNumberFormat="1" applyFont="1" applyFill="1" applyBorder="1" applyAlignment="1" applyProtection="1">
      <alignment horizontal="center" vertical="center"/>
      <protection hidden="1"/>
    </xf>
    <xf numFmtId="167" fontId="11" fillId="0" borderId="2" xfId="0" applyNumberFormat="1" applyFont="1" applyBorder="1" applyAlignment="1" applyProtection="1">
      <alignment horizontal="center" vertical="center" wrapText="1"/>
      <protection hidden="1"/>
    </xf>
    <xf numFmtId="4" fontId="11" fillId="2" borderId="56" xfId="0" applyNumberFormat="1" applyFont="1" applyFill="1" applyBorder="1" applyAlignment="1" applyProtection="1">
      <alignment horizontal="center" vertical="center" wrapText="1"/>
      <protection hidden="1"/>
    </xf>
    <xf numFmtId="4" fontId="11" fillId="2" borderId="20" xfId="0" applyNumberFormat="1" applyFont="1" applyFill="1" applyBorder="1" applyAlignment="1" applyProtection="1">
      <alignment horizontal="center" vertical="center" wrapText="1"/>
      <protection hidden="1"/>
    </xf>
    <xf numFmtId="4" fontId="11" fillId="2" borderId="21" xfId="0" applyNumberFormat="1" applyFont="1" applyFill="1" applyBorder="1" applyAlignment="1" applyProtection="1">
      <alignment horizontal="center" vertical="center" wrapText="1"/>
      <protection hidden="1"/>
    </xf>
    <xf numFmtId="4" fontId="11" fillId="2" borderId="22" xfId="0" applyNumberFormat="1" applyFont="1" applyFill="1" applyBorder="1" applyAlignment="1" applyProtection="1">
      <alignment horizontal="center" vertical="center" wrapText="1"/>
      <protection hidden="1"/>
    </xf>
    <xf numFmtId="4" fontId="11" fillId="2" borderId="28" xfId="0" applyNumberFormat="1" applyFont="1" applyFill="1" applyBorder="1" applyAlignment="1" applyProtection="1">
      <alignment horizontal="center" vertical="center" wrapText="1"/>
      <protection hidden="1"/>
    </xf>
    <xf numFmtId="168" fontId="11" fillId="2" borderId="57" xfId="0" applyNumberFormat="1" applyFont="1" applyFill="1" applyBorder="1" applyAlignment="1" applyProtection="1">
      <alignment horizontal="center" vertical="center" wrapText="1"/>
      <protection hidden="1"/>
    </xf>
    <xf numFmtId="4" fontId="40" fillId="2" borderId="5" xfId="0" applyNumberFormat="1" applyFont="1" applyFill="1" applyBorder="1" applyAlignment="1" applyProtection="1">
      <alignment horizontal="center" vertical="center"/>
      <protection hidden="1"/>
    </xf>
    <xf numFmtId="4" fontId="11" fillId="2" borderId="74" xfId="0" applyNumberFormat="1" applyFont="1" applyFill="1" applyBorder="1" applyAlignment="1" applyProtection="1">
      <alignment horizontal="center" vertical="center" wrapText="1"/>
      <protection hidden="1"/>
    </xf>
    <xf numFmtId="4" fontId="11" fillId="2" borderId="23" xfId="0" applyNumberFormat="1" applyFont="1" applyFill="1" applyBorder="1" applyAlignment="1" applyProtection="1">
      <alignment horizontal="center" vertical="center" wrapText="1"/>
      <protection hidden="1"/>
    </xf>
    <xf numFmtId="4" fontId="11" fillId="2" borderId="24" xfId="0" applyNumberFormat="1" applyFont="1" applyFill="1" applyBorder="1" applyAlignment="1" applyProtection="1">
      <alignment horizontal="center" vertical="center" wrapText="1"/>
      <protection hidden="1"/>
    </xf>
    <xf numFmtId="4" fontId="11" fillId="2" borderId="25" xfId="0" applyNumberFormat="1" applyFont="1" applyFill="1" applyBorder="1" applyAlignment="1" applyProtection="1">
      <alignment horizontal="center" vertical="center" wrapText="1"/>
      <protection hidden="1"/>
    </xf>
    <xf numFmtId="4" fontId="11" fillId="2" borderId="3" xfId="0" applyNumberFormat="1" applyFont="1" applyFill="1" applyBorder="1" applyAlignment="1" applyProtection="1">
      <alignment horizontal="center" vertical="center" wrapText="1"/>
      <protection hidden="1"/>
    </xf>
    <xf numFmtId="4" fontId="11" fillId="2" borderId="30" xfId="0" applyNumberFormat="1" applyFont="1" applyFill="1" applyBorder="1" applyAlignment="1" applyProtection="1">
      <alignment horizontal="center" vertical="center" wrapText="1"/>
      <protection hidden="1"/>
    </xf>
    <xf numFmtId="168" fontId="11" fillId="2" borderId="75" xfId="0" applyNumberFormat="1" applyFont="1" applyFill="1" applyBorder="1" applyAlignment="1" applyProtection="1">
      <alignment horizontal="center" vertical="center" wrapText="1"/>
      <protection hidden="1"/>
    </xf>
    <xf numFmtId="4" fontId="37" fillId="2" borderId="27" xfId="0" applyNumberFormat="1" applyFont="1" applyFill="1" applyBorder="1" applyAlignment="1" applyProtection="1">
      <alignment horizontal="center" vertical="center" wrapText="1"/>
      <protection hidden="1"/>
    </xf>
    <xf numFmtId="4" fontId="37" fillId="2" borderId="27" xfId="0" applyNumberFormat="1" applyFont="1" applyFill="1" applyBorder="1" applyAlignment="1" applyProtection="1">
      <alignment horizontal="right" vertical="center" wrapText="1"/>
      <protection hidden="1"/>
    </xf>
    <xf numFmtId="4" fontId="37" fillId="2" borderId="31" xfId="0" applyNumberFormat="1" applyFont="1" applyFill="1" applyBorder="1" applyAlignment="1" applyProtection="1">
      <alignment horizontal="center" vertical="center" wrapText="1"/>
      <protection hidden="1"/>
    </xf>
    <xf numFmtId="4" fontId="37" fillId="2" borderId="31" xfId="0" applyNumberFormat="1" applyFont="1" applyFill="1" applyBorder="1" applyAlignment="1" applyProtection="1">
      <alignment horizontal="right" vertical="center" wrapText="1"/>
      <protection hidden="1"/>
    </xf>
    <xf numFmtId="4" fontId="22" fillId="2" borderId="6" xfId="0" applyNumberFormat="1" applyFont="1" applyFill="1" applyBorder="1" applyAlignment="1">
      <alignment horizontal="center" vertical="center" wrapText="1"/>
    </xf>
    <xf numFmtId="4" fontId="22" fillId="2" borderId="83" xfId="0" applyNumberFormat="1" applyFont="1" applyFill="1" applyBorder="1" applyAlignment="1">
      <alignment horizontal="center" vertical="center" wrapText="1"/>
    </xf>
    <xf numFmtId="4" fontId="22" fillId="2" borderId="37" xfId="0" applyNumberFormat="1" applyFont="1" applyFill="1" applyBorder="1" applyAlignment="1">
      <alignment horizontal="center" vertical="center" wrapText="1"/>
    </xf>
    <xf numFmtId="4" fontId="22" fillId="2" borderId="32" xfId="0" applyNumberFormat="1" applyFont="1" applyFill="1" applyBorder="1" applyAlignment="1">
      <alignment horizontal="center" vertical="center" wrapText="1"/>
    </xf>
    <xf numFmtId="4" fontId="22" fillId="2" borderId="33" xfId="0" applyNumberFormat="1" applyFont="1" applyFill="1" applyBorder="1" applyAlignment="1">
      <alignment horizontal="center" vertical="center" wrapText="1"/>
    </xf>
    <xf numFmtId="4" fontId="22" fillId="2" borderId="31" xfId="0" applyNumberFormat="1" applyFont="1" applyFill="1" applyBorder="1" applyAlignment="1">
      <alignment horizontal="center" vertical="center" wrapText="1"/>
    </xf>
    <xf numFmtId="4" fontId="22" fillId="2" borderId="84" xfId="0" applyNumberFormat="1" applyFont="1" applyFill="1" applyBorder="1" applyAlignment="1">
      <alignment horizontal="center" vertical="center" wrapText="1"/>
    </xf>
    <xf numFmtId="0" fontId="41" fillId="0" borderId="0" xfId="0" applyFont="1" applyAlignment="1">
      <alignment wrapText="1"/>
    </xf>
    <xf numFmtId="0" fontId="41" fillId="0" borderId="0" xfId="0" applyFont="1"/>
    <xf numFmtId="0" fontId="13" fillId="0" borderId="0" xfId="2"/>
    <xf numFmtId="4" fontId="13" fillId="0" borderId="0" xfId="2" applyNumberFormat="1"/>
    <xf numFmtId="0" fontId="26" fillId="0" borderId="0" xfId="0" applyFont="1" applyAlignment="1">
      <alignment horizontal="center" vertical="center" wrapText="1"/>
    </xf>
    <xf numFmtId="0" fontId="15" fillId="0" borderId="0" xfId="2" applyFont="1" applyAlignment="1">
      <alignment wrapText="1"/>
    </xf>
    <xf numFmtId="0" fontId="25" fillId="2" borderId="14" xfId="2" applyFont="1" applyFill="1" applyBorder="1" applyAlignment="1">
      <alignment horizontal="center" vertical="center"/>
    </xf>
    <xf numFmtId="0" fontId="25" fillId="2" borderId="15" xfId="2" applyFont="1" applyFill="1" applyBorder="1" applyAlignment="1">
      <alignment horizontal="center" vertical="center"/>
    </xf>
    <xf numFmtId="4" fontId="16" fillId="2" borderId="15" xfId="2" applyNumberFormat="1" applyFont="1" applyFill="1" applyBorder="1" applyAlignment="1" applyProtection="1">
      <alignment horizontal="center" vertical="center"/>
      <protection locked="0"/>
    </xf>
    <xf numFmtId="0" fontId="16" fillId="2" borderId="16" xfId="2" applyFont="1" applyFill="1" applyBorder="1" applyAlignment="1">
      <alignment horizontal="center" vertical="center"/>
    </xf>
    <xf numFmtId="0" fontId="25" fillId="2" borderId="45" xfId="2" applyFont="1" applyFill="1" applyBorder="1" applyAlignment="1">
      <alignment horizontal="center" vertical="center" wrapText="1"/>
    </xf>
    <xf numFmtId="0" fontId="25" fillId="2" borderId="46" xfId="2" applyFont="1" applyFill="1" applyBorder="1" applyAlignment="1">
      <alignment horizontal="center" vertical="center" wrapText="1"/>
    </xf>
    <xf numFmtId="4" fontId="25" fillId="2" borderId="46" xfId="2" applyNumberFormat="1" applyFont="1" applyFill="1" applyBorder="1" applyAlignment="1">
      <alignment horizontal="center" vertical="center"/>
    </xf>
    <xf numFmtId="0" fontId="26" fillId="2" borderId="47" xfId="2" applyFont="1" applyFill="1" applyBorder="1" applyAlignment="1">
      <alignment horizontal="center" vertical="center"/>
    </xf>
    <xf numFmtId="0" fontId="26" fillId="2" borderId="35" xfId="2" applyFont="1" applyFill="1" applyBorder="1" applyAlignment="1">
      <alignment horizontal="center" vertical="center" wrapText="1"/>
    </xf>
    <xf numFmtId="0" fontId="26" fillId="2" borderId="36" xfId="2" applyFont="1" applyFill="1" applyBorder="1" applyAlignment="1">
      <alignment vertical="center" wrapText="1"/>
    </xf>
    <xf numFmtId="4" fontId="26" fillId="2" borderId="36" xfId="2" applyNumberFormat="1" applyFont="1" applyFill="1" applyBorder="1" applyAlignment="1">
      <alignment horizontal="center" vertical="center"/>
    </xf>
    <xf numFmtId="0" fontId="25" fillId="2" borderId="18" xfId="2" applyFont="1" applyFill="1" applyBorder="1" applyAlignment="1">
      <alignment horizontal="left" vertical="center" wrapText="1"/>
    </xf>
    <xf numFmtId="0" fontId="26" fillId="2" borderId="21" xfId="2" applyFont="1" applyFill="1" applyBorder="1" applyAlignment="1">
      <alignment horizontal="left" vertical="center" wrapText="1"/>
    </xf>
    <xf numFmtId="4" fontId="26" fillId="0" borderId="21" xfId="2" applyNumberFormat="1" applyFont="1" applyBorder="1" applyAlignment="1">
      <alignment horizontal="center" vertical="center"/>
    </xf>
    <xf numFmtId="4" fontId="36" fillId="0" borderId="0" xfId="0" applyNumberFormat="1" applyFont="1" applyAlignment="1">
      <alignment wrapText="1"/>
    </xf>
    <xf numFmtId="0" fontId="36" fillId="0" borderId="0" xfId="0" applyFont="1" applyAlignment="1">
      <alignment wrapText="1"/>
    </xf>
    <xf numFmtId="0" fontId="26" fillId="2" borderId="24" xfId="2" applyFont="1" applyFill="1" applyBorder="1" applyAlignment="1">
      <alignment horizontal="left" vertical="center" wrapText="1"/>
    </xf>
    <xf numFmtId="172" fontId="36" fillId="0" borderId="0" xfId="0" applyNumberFormat="1" applyFont="1"/>
    <xf numFmtId="0" fontId="25" fillId="2" borderId="37" xfId="2" applyFont="1" applyFill="1" applyBorder="1" applyAlignment="1">
      <alignment horizontal="center" vertical="center" wrapText="1"/>
    </xf>
    <xf numFmtId="0" fontId="25" fillId="2" borderId="32" xfId="2" applyFont="1" applyFill="1" applyBorder="1" applyAlignment="1">
      <alignment horizontal="left" vertical="center" wrapText="1"/>
    </xf>
    <xf numFmtId="4" fontId="25" fillId="2" borderId="32" xfId="2" applyNumberFormat="1" applyFont="1" applyFill="1" applyBorder="1" applyAlignment="1">
      <alignment horizontal="center" vertical="center"/>
    </xf>
    <xf numFmtId="0" fontId="25" fillId="2" borderId="21" xfId="2" applyFont="1" applyFill="1" applyBorder="1" applyAlignment="1">
      <alignment horizontal="center" vertical="center" wrapText="1"/>
    </xf>
    <xf numFmtId="4" fontId="25" fillId="2" borderId="21" xfId="2" applyNumberFormat="1" applyFont="1" applyFill="1" applyBorder="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167" fontId="25" fillId="2" borderId="32" xfId="2" applyNumberFormat="1" applyFont="1" applyFill="1" applyBorder="1" applyAlignment="1">
      <alignment horizontal="center" vertical="center"/>
    </xf>
    <xf numFmtId="0" fontId="42" fillId="0" borderId="0" xfId="0" applyFont="1"/>
    <xf numFmtId="0" fontId="14" fillId="0" borderId="0" xfId="0" applyFont="1"/>
    <xf numFmtId="0" fontId="22" fillId="0" borderId="1" xfId="0" applyFont="1" applyBorder="1" applyAlignment="1" applyProtection="1">
      <alignment horizontal="center" vertical="center"/>
      <protection hidden="1"/>
    </xf>
    <xf numFmtId="0" fontId="22" fillId="0" borderId="38"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3" fontId="16" fillId="0" borderId="39" xfId="0" applyNumberFormat="1" applyFont="1" applyBorder="1" applyAlignment="1" applyProtection="1">
      <alignment horizontal="center" vertical="center" wrapText="1"/>
      <protection hidden="1"/>
    </xf>
    <xf numFmtId="0" fontId="30" fillId="0" borderId="11" xfId="0" applyFont="1" applyBorder="1" applyAlignment="1" applyProtection="1">
      <alignment horizontal="center" vertical="center" wrapText="1"/>
      <protection hidden="1"/>
    </xf>
    <xf numFmtId="0" fontId="30" fillId="0" borderId="12" xfId="0" applyFont="1" applyBorder="1" applyAlignment="1" applyProtection="1">
      <alignment horizontal="center" vertical="center" wrapText="1"/>
      <protection hidden="1"/>
    </xf>
    <xf numFmtId="0" fontId="30" fillId="0" borderId="13" xfId="0" applyFont="1" applyBorder="1" applyAlignment="1" applyProtection="1">
      <alignment horizontal="center" vertical="center" wrapText="1"/>
      <protection hidden="1"/>
    </xf>
    <xf numFmtId="0" fontId="30" fillId="0" borderId="40" xfId="0" applyFont="1" applyBorder="1" applyAlignment="1" applyProtection="1">
      <alignment horizontal="center" vertical="center" wrapText="1"/>
      <protection hidden="1"/>
    </xf>
    <xf numFmtId="3" fontId="16" fillId="0" borderId="41" xfId="0" applyNumberFormat="1" applyFont="1" applyBorder="1" applyAlignment="1" applyProtection="1">
      <alignment horizontal="center" vertical="center" wrapText="1"/>
      <protection hidden="1"/>
    </xf>
    <xf numFmtId="3" fontId="16" fillId="0" borderId="1" xfId="0" applyNumberFormat="1" applyFont="1" applyBorder="1" applyAlignment="1" applyProtection="1">
      <alignment horizontal="center" vertical="center" wrapText="1"/>
      <protection hidden="1"/>
    </xf>
    <xf numFmtId="3" fontId="30" fillId="0" borderId="41" xfId="0" applyNumberFormat="1" applyFont="1" applyBorder="1" applyAlignment="1" applyProtection="1">
      <alignment horizontal="center" vertical="center" wrapText="1"/>
      <protection hidden="1"/>
    </xf>
    <xf numFmtId="0" fontId="16" fillId="0" borderId="39" xfId="0" applyFont="1" applyBorder="1" applyAlignment="1" applyProtection="1">
      <alignment horizontal="center" vertical="center" wrapText="1"/>
      <protection hidden="1"/>
    </xf>
    <xf numFmtId="0" fontId="22" fillId="0" borderId="42" xfId="0" applyFont="1" applyBorder="1" applyAlignment="1">
      <alignment horizontal="center" vertical="center"/>
    </xf>
    <xf numFmtId="0" fontId="22" fillId="0" borderId="42" xfId="0" applyFont="1" applyBorder="1" applyAlignment="1" applyProtection="1">
      <alignment horizontal="center" vertical="center"/>
      <protection hidden="1"/>
    </xf>
    <xf numFmtId="4" fontId="22" fillId="2" borderId="42" xfId="0" applyNumberFormat="1" applyFont="1" applyFill="1" applyBorder="1" applyAlignment="1" applyProtection="1">
      <alignment horizontal="center" vertical="center" wrapText="1"/>
      <protection hidden="1"/>
    </xf>
    <xf numFmtId="4" fontId="22" fillId="2" borderId="44" xfId="0" applyNumberFormat="1" applyFont="1" applyFill="1" applyBorder="1" applyAlignment="1" applyProtection="1">
      <alignment horizontal="center" vertical="center" wrapText="1"/>
      <protection hidden="1"/>
    </xf>
    <xf numFmtId="4" fontId="22" fillId="2" borderId="45" xfId="0" applyNumberFormat="1" applyFont="1" applyFill="1" applyBorder="1" applyAlignment="1" applyProtection="1">
      <alignment horizontal="center" vertical="center" wrapText="1"/>
      <protection hidden="1"/>
    </xf>
    <xf numFmtId="4" fontId="22" fillId="2" borderId="46" xfId="0" applyNumberFormat="1" applyFont="1" applyFill="1" applyBorder="1" applyAlignment="1" applyProtection="1">
      <alignment horizontal="center" vertical="center" wrapText="1"/>
      <protection hidden="1"/>
    </xf>
    <xf numFmtId="4" fontId="22" fillId="2" borderId="47" xfId="0" applyNumberFormat="1" applyFont="1" applyFill="1" applyBorder="1" applyAlignment="1" applyProtection="1">
      <alignment horizontal="center" vertical="center" wrapText="1"/>
      <protection hidden="1"/>
    </xf>
    <xf numFmtId="4" fontId="22" fillId="2" borderId="48" xfId="0" applyNumberFormat="1" applyFont="1" applyFill="1" applyBorder="1" applyAlignment="1" applyProtection="1">
      <alignment horizontal="center" vertical="center" wrapText="1"/>
      <protection hidden="1"/>
    </xf>
    <xf numFmtId="0" fontId="16" fillId="0" borderId="5" xfId="0" applyFont="1" applyBorder="1" applyAlignment="1">
      <alignment horizontal="center" vertical="center"/>
    </xf>
    <xf numFmtId="0" fontId="16" fillId="0" borderId="36" xfId="0" applyFont="1" applyBorder="1" applyAlignment="1">
      <alignment horizontal="center" vertical="center" wrapText="1"/>
    </xf>
    <xf numFmtId="4" fontId="16" fillId="2" borderId="5" xfId="0" applyNumberFormat="1" applyFont="1" applyFill="1" applyBorder="1" applyAlignment="1" applyProtection="1">
      <alignment horizontal="center" vertical="center" wrapText="1"/>
      <protection hidden="1"/>
    </xf>
    <xf numFmtId="4" fontId="16" fillId="2" borderId="50" xfId="0" applyNumberFormat="1" applyFont="1" applyFill="1" applyBorder="1" applyAlignment="1" applyProtection="1">
      <alignment horizontal="center" vertical="center" wrapText="1"/>
      <protection hidden="1"/>
    </xf>
    <xf numFmtId="4" fontId="16" fillId="2" borderId="35" xfId="0" applyNumberFormat="1" applyFont="1" applyFill="1" applyBorder="1" applyAlignment="1" applyProtection="1">
      <alignment horizontal="center" vertical="center" wrapText="1"/>
      <protection hidden="1"/>
    </xf>
    <xf numFmtId="4" fontId="16" fillId="2" borderId="36" xfId="0" applyNumberFormat="1" applyFont="1" applyFill="1" applyBorder="1" applyAlignment="1" applyProtection="1">
      <alignment horizontal="center" vertical="center" wrapText="1"/>
      <protection hidden="1"/>
    </xf>
    <xf numFmtId="4" fontId="16" fillId="2" borderId="29" xfId="0" applyNumberFormat="1" applyFont="1" applyFill="1" applyBorder="1" applyAlignment="1" applyProtection="1">
      <alignment horizontal="center" vertical="center" wrapText="1"/>
      <protection hidden="1"/>
    </xf>
    <xf numFmtId="4" fontId="16" fillId="2" borderId="51" xfId="0" applyNumberFormat="1" applyFont="1" applyFill="1" applyBorder="1" applyAlignment="1" applyProtection="1">
      <alignment horizontal="center" vertical="center" wrapText="1"/>
      <protection hidden="1"/>
    </xf>
    <xf numFmtId="0" fontId="30" fillId="0" borderId="5" xfId="0" applyFont="1" applyBorder="1" applyAlignment="1">
      <alignment horizontal="center" vertical="center"/>
    </xf>
    <xf numFmtId="0" fontId="30" fillId="0" borderId="21" xfId="0" applyFont="1" applyBorder="1" applyAlignment="1">
      <alignment horizontal="right" vertical="center" wrapText="1"/>
    </xf>
    <xf numFmtId="4" fontId="17" fillId="2" borderId="35" xfId="0" applyNumberFormat="1" applyFont="1" applyFill="1" applyBorder="1" applyAlignment="1" applyProtection="1">
      <alignment horizontal="center" vertical="center" wrapText="1"/>
      <protection hidden="1"/>
    </xf>
    <xf numFmtId="4" fontId="17" fillId="2" borderId="36" xfId="0" applyNumberFormat="1" applyFont="1" applyFill="1" applyBorder="1" applyAlignment="1" applyProtection="1">
      <alignment horizontal="center" vertical="center" wrapText="1"/>
      <protection hidden="1"/>
    </xf>
    <xf numFmtId="4" fontId="17" fillId="2" borderId="29" xfId="0" applyNumberFormat="1" applyFont="1" applyFill="1" applyBorder="1" applyAlignment="1" applyProtection="1">
      <alignment horizontal="center" vertical="center" wrapText="1"/>
      <protection hidden="1"/>
    </xf>
    <xf numFmtId="4" fontId="17" fillId="2" borderId="51" xfId="0" applyNumberFormat="1" applyFont="1" applyFill="1" applyBorder="1" applyAlignment="1" applyProtection="1">
      <alignment horizontal="center" vertical="center" wrapText="1"/>
      <protection hidden="1"/>
    </xf>
    <xf numFmtId="4" fontId="17" fillId="2" borderId="5" xfId="0" applyNumberFormat="1" applyFont="1" applyFill="1" applyBorder="1" applyAlignment="1" applyProtection="1">
      <alignment horizontal="center" vertical="center" wrapText="1"/>
      <protection hidden="1"/>
    </xf>
    <xf numFmtId="4" fontId="17" fillId="2" borderId="50" xfId="0" applyNumberFormat="1" applyFont="1" applyFill="1" applyBorder="1" applyAlignment="1" applyProtection="1">
      <alignment horizontal="center" vertical="center" wrapText="1"/>
      <protection hidden="1"/>
    </xf>
    <xf numFmtId="0" fontId="16" fillId="0" borderId="21" xfId="0" applyFont="1" applyBorder="1" applyAlignment="1">
      <alignment horizontal="center" vertical="center" wrapText="1"/>
    </xf>
    <xf numFmtId="0" fontId="16" fillId="0" borderId="21" xfId="0" applyFont="1" applyBorder="1" applyAlignment="1">
      <alignment horizontal="center" wrapText="1"/>
    </xf>
    <xf numFmtId="0" fontId="30" fillId="0" borderId="21" xfId="0" applyFont="1" applyBorder="1" applyAlignment="1">
      <alignment horizontal="right" wrapText="1"/>
    </xf>
    <xf numFmtId="0" fontId="30" fillId="0" borderId="5" xfId="0" applyFont="1" applyBorder="1" applyAlignment="1" applyProtection="1">
      <alignment horizontal="center" vertical="center"/>
      <protection hidden="1"/>
    </xf>
    <xf numFmtId="4" fontId="16" fillId="2" borderId="50" xfId="0" applyNumberFormat="1" applyFont="1" applyFill="1" applyBorder="1" applyAlignment="1" applyProtection="1">
      <alignment horizontal="center" vertical="center"/>
      <protection hidden="1"/>
    </xf>
    <xf numFmtId="4" fontId="17" fillId="2" borderId="35" xfId="0" applyNumberFormat="1" applyFont="1" applyFill="1" applyBorder="1" applyAlignment="1" applyProtection="1">
      <alignment horizontal="center" vertical="center"/>
      <protection hidden="1"/>
    </xf>
    <xf numFmtId="4" fontId="17" fillId="2" borderId="36" xfId="0" applyNumberFormat="1" applyFont="1" applyFill="1" applyBorder="1" applyAlignment="1" applyProtection="1">
      <alignment horizontal="center" vertical="center"/>
      <protection hidden="1"/>
    </xf>
    <xf numFmtId="4" fontId="17" fillId="2" borderId="29" xfId="0" applyNumberFormat="1" applyFont="1" applyFill="1" applyBorder="1" applyAlignment="1" applyProtection="1">
      <alignment horizontal="center" vertical="center"/>
      <protection hidden="1"/>
    </xf>
    <xf numFmtId="4" fontId="16" fillId="2" borderId="5" xfId="0" applyNumberFormat="1" applyFont="1" applyFill="1" applyBorder="1" applyAlignment="1" applyProtection="1">
      <alignment horizontal="center" vertical="center"/>
      <protection hidden="1"/>
    </xf>
    <xf numFmtId="4" fontId="17" fillId="2" borderId="51" xfId="0" applyNumberFormat="1" applyFont="1" applyFill="1" applyBorder="1" applyAlignment="1" applyProtection="1">
      <alignment horizontal="center" vertical="center"/>
      <protection hidden="1"/>
    </xf>
    <xf numFmtId="4" fontId="17" fillId="2" borderId="50" xfId="0" applyNumberFormat="1" applyFont="1" applyFill="1" applyBorder="1" applyAlignment="1" applyProtection="1">
      <alignment horizontal="center" vertical="center"/>
      <protection hidden="1"/>
    </xf>
    <xf numFmtId="0" fontId="30" fillId="0" borderId="24" xfId="0" applyFont="1" applyBorder="1" applyAlignment="1">
      <alignment horizontal="left" wrapText="1"/>
    </xf>
    <xf numFmtId="0" fontId="16" fillId="0" borderId="24" xfId="0" applyFont="1" applyBorder="1" applyAlignment="1">
      <alignment horizontal="center" wrapText="1"/>
    </xf>
    <xf numFmtId="4" fontId="16" fillId="2" borderId="2" xfId="0" applyNumberFormat="1" applyFont="1" applyFill="1" applyBorder="1" applyAlignment="1" applyProtection="1">
      <alignment horizontal="center" vertical="center" wrapText="1"/>
      <protection hidden="1"/>
    </xf>
    <xf numFmtId="4" fontId="16" fillId="2" borderId="56" xfId="0" applyNumberFormat="1" applyFont="1" applyFill="1" applyBorder="1" applyAlignment="1" applyProtection="1">
      <alignment horizontal="center" vertical="center"/>
      <protection hidden="1"/>
    </xf>
    <xf numFmtId="4" fontId="16" fillId="2" borderId="20" xfId="0" applyNumberFormat="1" applyFont="1" applyFill="1" applyBorder="1" applyAlignment="1" applyProtection="1">
      <alignment horizontal="center" vertical="center"/>
      <protection hidden="1"/>
    </xf>
    <xf numFmtId="4" fontId="16" fillId="2" borderId="21" xfId="0" applyNumberFormat="1" applyFont="1" applyFill="1" applyBorder="1" applyAlignment="1" applyProtection="1">
      <alignment horizontal="center" vertical="center"/>
      <protection hidden="1"/>
    </xf>
    <xf numFmtId="4" fontId="16" fillId="2" borderId="22" xfId="0" applyNumberFormat="1" applyFont="1" applyFill="1" applyBorder="1" applyAlignment="1" applyProtection="1">
      <alignment horizontal="center" vertical="center"/>
      <protection hidden="1"/>
    </xf>
    <xf numFmtId="4" fontId="16" fillId="2" borderId="2" xfId="0" applyNumberFormat="1" applyFont="1" applyFill="1" applyBorder="1" applyAlignment="1" applyProtection="1">
      <alignment horizontal="center" vertical="center"/>
      <protection hidden="1"/>
    </xf>
    <xf numFmtId="4" fontId="16" fillId="2" borderId="57" xfId="0" applyNumberFormat="1" applyFont="1" applyFill="1" applyBorder="1" applyAlignment="1" applyProtection="1">
      <alignment horizontal="center" vertical="center"/>
      <protection hidden="1"/>
    </xf>
    <xf numFmtId="0" fontId="30" fillId="0" borderId="3" xfId="0" applyFont="1" applyBorder="1" applyAlignment="1" applyProtection="1">
      <alignment horizontal="center" vertical="center"/>
      <protection hidden="1"/>
    </xf>
    <xf numFmtId="0" fontId="30" fillId="0" borderId="3" xfId="0" applyFont="1" applyBorder="1" applyAlignment="1">
      <alignment horizontal="right" wrapText="1"/>
    </xf>
    <xf numFmtId="4" fontId="16" fillId="2" borderId="3" xfId="0" applyNumberFormat="1" applyFont="1" applyFill="1" applyBorder="1" applyAlignment="1" applyProtection="1">
      <alignment horizontal="center" vertical="center" wrapText="1"/>
      <protection hidden="1"/>
    </xf>
    <xf numFmtId="4" fontId="16" fillId="2" borderId="74" xfId="0" applyNumberFormat="1" applyFont="1" applyFill="1" applyBorder="1" applyAlignment="1" applyProtection="1">
      <alignment horizontal="center" vertical="center"/>
      <protection hidden="1"/>
    </xf>
    <xf numFmtId="4" fontId="17" fillId="2" borderId="23" xfId="0" applyNumberFormat="1" applyFont="1" applyFill="1" applyBorder="1" applyAlignment="1" applyProtection="1">
      <alignment horizontal="center" vertical="center"/>
      <protection hidden="1"/>
    </xf>
    <xf numFmtId="4" fontId="17" fillId="2" borderId="24" xfId="0" applyNumberFormat="1" applyFont="1" applyFill="1" applyBorder="1" applyAlignment="1" applyProtection="1">
      <alignment horizontal="center" vertical="center"/>
      <protection hidden="1"/>
    </xf>
    <xf numFmtId="4" fontId="17" fillId="2" borderId="25" xfId="0" applyNumberFormat="1" applyFont="1" applyFill="1" applyBorder="1" applyAlignment="1" applyProtection="1">
      <alignment horizontal="center" vertical="center"/>
      <protection hidden="1"/>
    </xf>
    <xf numFmtId="4" fontId="17" fillId="2" borderId="75" xfId="0" applyNumberFormat="1" applyFont="1" applyFill="1" applyBorder="1" applyAlignment="1" applyProtection="1">
      <alignment horizontal="center" vertical="center"/>
      <protection hidden="1"/>
    </xf>
    <xf numFmtId="4" fontId="17" fillId="2" borderId="74" xfId="0" applyNumberFormat="1" applyFont="1" applyFill="1" applyBorder="1" applyAlignment="1" applyProtection="1">
      <alignment horizontal="center" vertical="center"/>
      <protection hidden="1"/>
    </xf>
    <xf numFmtId="0" fontId="30" fillId="0" borderId="2" xfId="0" applyFont="1" applyBorder="1" applyAlignment="1">
      <alignment horizontal="right" wrapText="1"/>
    </xf>
    <xf numFmtId="4" fontId="17" fillId="2" borderId="57" xfId="0" applyNumberFormat="1" applyFont="1" applyFill="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2" xfId="0" applyFont="1" applyBorder="1" applyAlignment="1">
      <alignment horizontal="center" wrapText="1"/>
    </xf>
    <xf numFmtId="0" fontId="30" fillId="0" borderId="2" xfId="0" applyFont="1" applyBorder="1" applyAlignment="1" applyProtection="1">
      <alignment horizontal="center" vertical="center"/>
      <protection hidden="1"/>
    </xf>
    <xf numFmtId="0" fontId="30" fillId="0" borderId="10" xfId="0" applyFont="1" applyBorder="1" applyAlignment="1" applyProtection="1">
      <alignment horizontal="center" vertical="center"/>
      <protection hidden="1"/>
    </xf>
    <xf numFmtId="0" fontId="30" fillId="0" borderId="10" xfId="0" applyFont="1" applyBorder="1" applyAlignment="1">
      <alignment horizontal="right" wrapText="1"/>
    </xf>
    <xf numFmtId="4" fontId="16" fillId="2" borderId="10" xfId="0" applyNumberFormat="1" applyFont="1" applyFill="1" applyBorder="1" applyAlignment="1" applyProtection="1">
      <alignment horizontal="center" vertical="center" wrapText="1"/>
      <protection hidden="1"/>
    </xf>
    <xf numFmtId="4" fontId="16" fillId="2" borderId="108" xfId="0" applyNumberFormat="1" applyFont="1" applyFill="1" applyBorder="1" applyAlignment="1" applyProtection="1">
      <alignment horizontal="center" vertical="center"/>
      <protection hidden="1"/>
    </xf>
    <xf numFmtId="4" fontId="17" fillId="2" borderId="109" xfId="0" applyNumberFormat="1" applyFont="1" applyFill="1" applyBorder="1" applyAlignment="1" applyProtection="1">
      <alignment horizontal="center" vertical="center"/>
      <protection hidden="1"/>
    </xf>
    <xf numFmtId="4" fontId="17" fillId="2" borderId="110" xfId="0" applyNumberFormat="1" applyFont="1" applyFill="1" applyBorder="1" applyAlignment="1" applyProtection="1">
      <alignment horizontal="center" vertical="center"/>
      <protection hidden="1"/>
    </xf>
    <xf numFmtId="4" fontId="17" fillId="2" borderId="89" xfId="0" applyNumberFormat="1" applyFont="1" applyFill="1" applyBorder="1" applyAlignment="1" applyProtection="1">
      <alignment horizontal="center" vertical="center"/>
      <protection hidden="1"/>
    </xf>
    <xf numFmtId="4" fontId="16" fillId="2" borderId="10" xfId="0" applyNumberFormat="1" applyFont="1" applyFill="1" applyBorder="1" applyAlignment="1" applyProtection="1">
      <alignment horizontal="center" vertical="center"/>
      <protection hidden="1"/>
    </xf>
    <xf numFmtId="4" fontId="17" fillId="2" borderId="0" xfId="0" applyNumberFormat="1" applyFont="1" applyFill="1" applyAlignment="1" applyProtection="1">
      <alignment horizontal="center" vertical="center"/>
      <protection hidden="1"/>
    </xf>
    <xf numFmtId="4" fontId="17" fillId="2" borderId="10" xfId="0" applyNumberFormat="1" applyFont="1" applyFill="1" applyBorder="1" applyAlignment="1" applyProtection="1">
      <alignment horizontal="center" vertical="center"/>
      <protection hidden="1"/>
    </xf>
    <xf numFmtId="4" fontId="17" fillId="2" borderId="108" xfId="0" applyNumberFormat="1" applyFont="1" applyFill="1" applyBorder="1" applyAlignment="1" applyProtection="1">
      <alignment horizontal="center" vertical="center"/>
      <protection hidden="1"/>
    </xf>
    <xf numFmtId="4" fontId="17" fillId="0" borderId="35" xfId="0" applyNumberFormat="1" applyFont="1" applyBorder="1" applyAlignment="1" applyProtection="1">
      <alignment horizontal="center" vertical="center" wrapText="1"/>
      <protection hidden="1"/>
    </xf>
    <xf numFmtId="4" fontId="17" fillId="0" borderId="36" xfId="0" applyNumberFormat="1" applyFont="1" applyBorder="1" applyAlignment="1" applyProtection="1">
      <alignment horizontal="center" vertical="center" wrapText="1"/>
      <protection hidden="1"/>
    </xf>
    <xf numFmtId="4" fontId="17" fillId="0" borderId="29" xfId="0" applyNumberFormat="1" applyFont="1" applyBorder="1" applyAlignment="1" applyProtection="1">
      <alignment horizontal="center" vertical="center" wrapText="1"/>
      <protection hidden="1"/>
    </xf>
    <xf numFmtId="4" fontId="17" fillId="0" borderId="51" xfId="0" applyNumberFormat="1" applyFont="1" applyBorder="1" applyAlignment="1" applyProtection="1">
      <alignment horizontal="center" vertical="center" wrapText="1"/>
      <protection hidden="1"/>
    </xf>
    <xf numFmtId="4" fontId="16" fillId="0" borderId="29" xfId="0" applyNumberFormat="1" applyFont="1" applyBorder="1" applyAlignment="1" applyProtection="1">
      <alignment horizontal="center" vertical="center" wrapText="1"/>
      <protection hidden="1"/>
    </xf>
    <xf numFmtId="4" fontId="16" fillId="0" borderId="50" xfId="0" applyNumberFormat="1" applyFont="1" applyBorder="1" applyAlignment="1" applyProtection="1">
      <alignment horizontal="center" vertical="center" wrapText="1"/>
      <protection hidden="1"/>
    </xf>
    <xf numFmtId="4" fontId="17" fillId="0" borderId="35" xfId="0" applyNumberFormat="1" applyFont="1" applyBorder="1" applyAlignment="1" applyProtection="1">
      <alignment horizontal="center" vertical="center"/>
      <protection hidden="1"/>
    </xf>
    <xf numFmtId="4" fontId="17" fillId="0" borderId="36" xfId="0" applyNumberFormat="1" applyFont="1" applyBorder="1" applyAlignment="1" applyProtection="1">
      <alignment horizontal="center" vertical="center"/>
      <protection hidden="1"/>
    </xf>
    <xf numFmtId="4" fontId="17" fillId="0" borderId="29" xfId="0" applyNumberFormat="1" applyFont="1" applyBorder="1" applyAlignment="1" applyProtection="1">
      <alignment horizontal="center" vertical="center"/>
      <protection hidden="1"/>
    </xf>
    <xf numFmtId="4" fontId="17" fillId="0" borderId="51" xfId="0" applyNumberFormat="1" applyFont="1" applyBorder="1" applyAlignment="1" applyProtection="1">
      <alignment horizontal="center" vertical="center"/>
      <protection hidden="1"/>
    </xf>
    <xf numFmtId="0" fontId="30" fillId="0" borderId="24" xfId="0" applyFont="1" applyBorder="1" applyAlignment="1">
      <alignment horizontal="right" wrapText="1"/>
    </xf>
    <xf numFmtId="4" fontId="17" fillId="0" borderId="23" xfId="0" applyNumberFormat="1" applyFont="1" applyBorder="1" applyAlignment="1" applyProtection="1">
      <alignment horizontal="center" vertical="center"/>
      <protection hidden="1"/>
    </xf>
    <xf numFmtId="4" fontId="17" fillId="0" borderId="24" xfId="0" applyNumberFormat="1" applyFont="1" applyBorder="1" applyAlignment="1" applyProtection="1">
      <alignment horizontal="center" vertical="center"/>
      <protection hidden="1"/>
    </xf>
    <xf numFmtId="4" fontId="17" fillId="0" borderId="25" xfId="0" applyNumberFormat="1" applyFont="1" applyBorder="1" applyAlignment="1" applyProtection="1">
      <alignment horizontal="center" vertical="center"/>
      <protection hidden="1"/>
    </xf>
    <xf numFmtId="4" fontId="17" fillId="0" borderId="75" xfId="0" applyNumberFormat="1" applyFont="1" applyBorder="1" applyAlignment="1" applyProtection="1">
      <alignment horizontal="center" vertical="center"/>
      <protection hidden="1"/>
    </xf>
    <xf numFmtId="4" fontId="17" fillId="2" borderId="3" xfId="0" applyNumberFormat="1" applyFont="1" applyFill="1" applyBorder="1" applyAlignment="1" applyProtection="1">
      <alignment horizontal="center" vertical="center"/>
      <protection hidden="1"/>
    </xf>
    <xf numFmtId="4" fontId="17" fillId="0" borderId="20" xfId="0" applyNumberFormat="1" applyFont="1" applyBorder="1" applyAlignment="1" applyProtection="1">
      <alignment horizontal="center" vertical="center"/>
      <protection hidden="1"/>
    </xf>
    <xf numFmtId="4" fontId="17" fillId="0" borderId="21" xfId="0" applyNumberFormat="1" applyFont="1" applyBorder="1" applyAlignment="1" applyProtection="1">
      <alignment horizontal="center" vertical="center"/>
      <protection hidden="1"/>
    </xf>
    <xf numFmtId="4" fontId="17" fillId="0" borderId="22" xfId="0" applyNumberFormat="1" applyFont="1" applyBorder="1" applyAlignment="1" applyProtection="1">
      <alignment horizontal="center" vertical="center"/>
      <protection hidden="1"/>
    </xf>
    <xf numFmtId="4" fontId="17" fillId="0" borderId="57" xfId="0" applyNumberFormat="1" applyFont="1" applyBorder="1" applyAlignment="1" applyProtection="1">
      <alignment horizontal="center" vertical="center"/>
      <protection hidden="1"/>
    </xf>
    <xf numFmtId="4" fontId="17" fillId="0" borderId="109" xfId="0" applyNumberFormat="1" applyFont="1" applyBorder="1" applyAlignment="1" applyProtection="1">
      <alignment horizontal="center" vertical="center"/>
      <protection hidden="1"/>
    </xf>
    <xf numFmtId="4" fontId="17" fillId="0" borderId="110" xfId="0" applyNumberFormat="1" applyFont="1" applyBorder="1" applyAlignment="1" applyProtection="1">
      <alignment horizontal="center" vertical="center"/>
      <protection hidden="1"/>
    </xf>
    <xf numFmtId="4" fontId="17" fillId="0" borderId="89" xfId="0" applyNumberFormat="1" applyFont="1" applyBorder="1" applyAlignment="1" applyProtection="1">
      <alignment horizontal="center" vertical="center"/>
      <protection hidden="1"/>
    </xf>
    <xf numFmtId="4" fontId="17" fillId="0" borderId="0" xfId="0" applyNumberFormat="1" applyFont="1" applyAlignment="1" applyProtection="1">
      <alignment horizontal="center" vertical="center"/>
      <protection hidden="1"/>
    </xf>
    <xf numFmtId="4" fontId="16" fillId="0" borderId="89" xfId="0" applyNumberFormat="1" applyFont="1" applyBorder="1" applyAlignment="1" applyProtection="1">
      <alignment horizontal="center" vertical="center" wrapText="1"/>
      <protection hidden="1"/>
    </xf>
    <xf numFmtId="4" fontId="16" fillId="0" borderId="108" xfId="0" applyNumberFormat="1" applyFont="1" applyBorder="1" applyAlignment="1" applyProtection="1">
      <alignment horizontal="center" vertical="center" wrapText="1"/>
      <protection hidden="1"/>
    </xf>
    <xf numFmtId="4" fontId="17" fillId="0" borderId="5" xfId="0" applyNumberFormat="1" applyFont="1" applyBorder="1" applyAlignment="1" applyProtection="1">
      <alignment horizontal="center" vertical="center" wrapText="1"/>
      <protection hidden="1"/>
    </xf>
    <xf numFmtId="4" fontId="17" fillId="0" borderId="3" xfId="0" applyNumberFormat="1" applyFont="1" applyBorder="1" applyAlignment="1" applyProtection="1">
      <alignment horizontal="center" vertical="center" wrapText="1"/>
      <protection hidden="1"/>
    </xf>
    <xf numFmtId="4" fontId="17" fillId="0" borderId="2" xfId="0" applyNumberFormat="1" applyFont="1" applyBorder="1" applyAlignment="1" applyProtection="1">
      <alignment horizontal="center" vertical="center" wrapText="1"/>
      <protection hidden="1"/>
    </xf>
    <xf numFmtId="0" fontId="30" fillId="0" borderId="6" xfId="0" applyFont="1" applyBorder="1" applyAlignment="1" applyProtection="1">
      <alignment horizontal="center" vertical="center"/>
      <protection hidden="1"/>
    </xf>
    <xf numFmtId="4" fontId="17" fillId="2" borderId="108" xfId="0" applyNumberFormat="1" applyFont="1" applyFill="1" applyBorder="1" applyAlignment="1" applyProtection="1">
      <alignment horizontal="center" vertical="center" wrapText="1"/>
      <protection hidden="1"/>
    </xf>
    <xf numFmtId="4" fontId="17" fillId="2" borderId="109" xfId="0" applyNumberFormat="1" applyFont="1" applyFill="1" applyBorder="1" applyAlignment="1" applyProtection="1">
      <alignment horizontal="center" vertical="center" wrapText="1"/>
      <protection hidden="1"/>
    </xf>
    <xf numFmtId="4" fontId="17" fillId="2" borderId="110" xfId="0" applyNumberFormat="1" applyFont="1" applyFill="1" applyBorder="1" applyAlignment="1" applyProtection="1">
      <alignment horizontal="center" vertical="center" wrapText="1"/>
      <protection hidden="1"/>
    </xf>
    <xf numFmtId="4" fontId="17" fillId="2" borderId="89" xfId="0" applyNumberFormat="1" applyFont="1" applyFill="1" applyBorder="1" applyAlignment="1" applyProtection="1">
      <alignment horizontal="center" vertical="center" wrapText="1"/>
      <protection hidden="1"/>
    </xf>
    <xf numFmtId="4" fontId="17" fillId="2" borderId="10" xfId="0" applyNumberFormat="1" applyFont="1" applyFill="1" applyBorder="1" applyAlignment="1" applyProtection="1">
      <alignment horizontal="center" vertical="center" wrapText="1"/>
      <protection hidden="1"/>
    </xf>
    <xf numFmtId="4" fontId="17" fillId="2" borderId="0" xfId="0" applyNumberFormat="1" applyFont="1" applyFill="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7" fillId="0" borderId="5" xfId="0" applyFont="1" applyBorder="1" applyAlignment="1" applyProtection="1">
      <alignment horizontal="left" vertical="center" wrapText="1"/>
      <protection hidden="1"/>
    </xf>
    <xf numFmtId="2" fontId="16" fillId="2" borderId="5" xfId="0" applyNumberFormat="1" applyFont="1" applyFill="1" applyBorder="1" applyAlignment="1">
      <alignment horizontal="center" vertical="center" wrapText="1"/>
    </xf>
    <xf numFmtId="2" fontId="16" fillId="2" borderId="50" xfId="0" applyNumberFormat="1" applyFont="1" applyFill="1" applyBorder="1" applyAlignment="1">
      <alignment horizontal="center" vertical="center"/>
    </xf>
    <xf numFmtId="2" fontId="17" fillId="0" borderId="35" xfId="0" applyNumberFormat="1" applyFont="1" applyBorder="1" applyAlignment="1">
      <alignment horizontal="center" vertical="center"/>
    </xf>
    <xf numFmtId="2" fontId="17" fillId="0" borderId="36" xfId="0" applyNumberFormat="1" applyFont="1" applyBorder="1" applyAlignment="1">
      <alignment horizontal="center" vertical="center"/>
    </xf>
    <xf numFmtId="2" fontId="17" fillId="0" borderId="29" xfId="0" applyNumberFormat="1" applyFont="1" applyBorder="1" applyAlignment="1">
      <alignment horizontal="center" vertical="center"/>
    </xf>
    <xf numFmtId="2" fontId="16" fillId="2" borderId="5" xfId="0" applyNumberFormat="1" applyFont="1" applyFill="1" applyBorder="1" applyAlignment="1">
      <alignment horizontal="center" vertical="center"/>
    </xf>
    <xf numFmtId="2" fontId="17" fillId="0" borderId="27" xfId="0" applyNumberFormat="1" applyFont="1" applyBorder="1" applyAlignment="1">
      <alignment horizontal="center" vertical="center"/>
    </xf>
    <xf numFmtId="2" fontId="17" fillId="2" borderId="5" xfId="0" applyNumberFormat="1" applyFont="1" applyFill="1" applyBorder="1" applyAlignment="1">
      <alignment horizontal="center" vertical="center"/>
    </xf>
    <xf numFmtId="2" fontId="17" fillId="0" borderId="51" xfId="0" applyNumberFormat="1" applyFont="1" applyBorder="1" applyAlignment="1">
      <alignment horizontal="center" vertical="center"/>
    </xf>
    <xf numFmtId="2" fontId="17" fillId="0" borderId="5" xfId="0" applyNumberFormat="1" applyFont="1" applyBorder="1" applyAlignment="1">
      <alignment horizontal="center" vertical="center"/>
    </xf>
    <xf numFmtId="0" fontId="11" fillId="0" borderId="28" xfId="0" applyFont="1" applyBorder="1" applyAlignment="1" applyProtection="1">
      <alignment horizontal="center" vertical="center"/>
      <protection hidden="1"/>
    </xf>
    <xf numFmtId="0" fontId="17" fillId="0" borderId="2" xfId="0" applyFont="1" applyBorder="1" applyAlignment="1" applyProtection="1">
      <alignment horizontal="left" vertical="center" wrapText="1"/>
      <protection hidden="1"/>
    </xf>
    <xf numFmtId="2" fontId="16" fillId="2" borderId="2" xfId="0" applyNumberFormat="1" applyFont="1" applyFill="1" applyBorder="1" applyAlignment="1">
      <alignment horizontal="center" vertical="center" wrapText="1"/>
    </xf>
    <xf numFmtId="2" fontId="16" fillId="2" borderId="56" xfId="0" applyNumberFormat="1" applyFont="1" applyFill="1" applyBorder="1" applyAlignment="1">
      <alignment horizontal="center" vertical="center"/>
    </xf>
    <xf numFmtId="2" fontId="17" fillId="0" borderId="20" xfId="0" applyNumberFormat="1" applyFont="1" applyBorder="1" applyAlignment="1">
      <alignment horizontal="center" vertical="center"/>
    </xf>
    <xf numFmtId="2" fontId="17" fillId="0" borderId="21" xfId="0" applyNumberFormat="1" applyFont="1" applyBorder="1" applyAlignment="1">
      <alignment horizontal="center" vertical="center"/>
    </xf>
    <xf numFmtId="2" fontId="17" fillId="0" borderId="22" xfId="0" applyNumberFormat="1" applyFont="1" applyBorder="1" applyAlignment="1">
      <alignment horizontal="center" vertical="center"/>
    </xf>
    <xf numFmtId="2" fontId="16" fillId="2" borderId="2" xfId="0" applyNumberFormat="1" applyFont="1" applyFill="1" applyBorder="1" applyAlignment="1">
      <alignment horizontal="center" vertical="center"/>
    </xf>
    <xf numFmtId="2" fontId="17" fillId="0" borderId="28" xfId="0" applyNumberFormat="1" applyFont="1" applyBorder="1" applyAlignment="1">
      <alignment horizontal="center" vertical="center"/>
    </xf>
    <xf numFmtId="2" fontId="17" fillId="2" borderId="2" xfId="0" applyNumberFormat="1" applyFont="1" applyFill="1" applyBorder="1" applyAlignment="1">
      <alignment horizontal="center" vertical="center"/>
    </xf>
    <xf numFmtId="2" fontId="17" fillId="0" borderId="57" xfId="0" applyNumberFormat="1" applyFont="1" applyBorder="1" applyAlignment="1">
      <alignment horizontal="center" vertical="center"/>
    </xf>
    <xf numFmtId="2" fontId="17" fillId="0" borderId="2" xfId="0" applyNumberFormat="1" applyFont="1" applyBorder="1" applyAlignment="1">
      <alignment horizontal="center" vertical="center"/>
    </xf>
    <xf numFmtId="0" fontId="11" fillId="0" borderId="30" xfId="0" applyFont="1" applyBorder="1" applyAlignment="1" applyProtection="1">
      <alignment horizontal="center" vertical="center"/>
      <protection hidden="1"/>
    </xf>
    <xf numFmtId="2" fontId="22" fillId="2" borderId="56" xfId="0" applyNumberFormat="1" applyFont="1" applyFill="1" applyBorder="1" applyAlignment="1">
      <alignment horizontal="center" vertical="center"/>
    </xf>
    <xf numFmtId="2" fontId="11" fillId="0" borderId="20" xfId="0" applyNumberFormat="1" applyFont="1" applyBorder="1" applyAlignment="1">
      <alignment horizontal="center" vertical="center"/>
    </xf>
    <xf numFmtId="2" fontId="11" fillId="0" borderId="21" xfId="0" applyNumberFormat="1" applyFont="1" applyBorder="1" applyAlignment="1">
      <alignment horizontal="center" vertical="center"/>
    </xf>
    <xf numFmtId="2" fontId="11" fillId="0" borderId="22" xfId="0" applyNumberFormat="1" applyFont="1" applyBorder="1" applyAlignment="1">
      <alignment horizontal="center" vertical="center"/>
    </xf>
    <xf numFmtId="2" fontId="22" fillId="2" borderId="2" xfId="0" applyNumberFormat="1" applyFont="1" applyFill="1" applyBorder="1" applyAlignment="1">
      <alignment horizontal="center" vertical="center"/>
    </xf>
    <xf numFmtId="2" fontId="11" fillId="0" borderId="28" xfId="0" applyNumberFormat="1" applyFont="1" applyBorder="1" applyAlignment="1">
      <alignment horizontal="center" vertical="center"/>
    </xf>
    <xf numFmtId="2" fontId="11" fillId="2" borderId="2" xfId="0" applyNumberFormat="1" applyFont="1" applyFill="1" applyBorder="1" applyAlignment="1">
      <alignment horizontal="center" vertical="center"/>
    </xf>
    <xf numFmtId="2" fontId="11" fillId="0" borderId="57" xfId="0" applyNumberFormat="1" applyFont="1" applyBorder="1" applyAlignment="1">
      <alignment horizontal="center" vertical="center"/>
    </xf>
    <xf numFmtId="2" fontId="11" fillId="0" borderId="2" xfId="0" applyNumberFormat="1" applyFont="1" applyBorder="1" applyAlignment="1">
      <alignment horizontal="center" vertical="center"/>
    </xf>
    <xf numFmtId="0" fontId="17" fillId="0" borderId="3" xfId="0" applyFont="1" applyBorder="1" applyAlignment="1" applyProtection="1">
      <alignment horizontal="left" vertical="center" wrapText="1"/>
      <protection hidden="1"/>
    </xf>
    <xf numFmtId="2" fontId="22" fillId="2" borderId="3" xfId="0" applyNumberFormat="1" applyFont="1" applyFill="1" applyBorder="1" applyAlignment="1">
      <alignment horizontal="center" vertical="center" wrapText="1"/>
    </xf>
    <xf numFmtId="2" fontId="22" fillId="2" borderId="74" xfId="0" applyNumberFormat="1" applyFont="1" applyFill="1" applyBorder="1" applyAlignment="1">
      <alignment horizontal="center" vertical="center"/>
    </xf>
    <xf numFmtId="2" fontId="11" fillId="0" borderId="23" xfId="0" applyNumberFormat="1" applyFont="1" applyBorder="1" applyAlignment="1">
      <alignment horizontal="center" vertical="center"/>
    </xf>
    <xf numFmtId="2" fontId="11" fillId="0" borderId="24" xfId="0" applyNumberFormat="1" applyFont="1" applyBorder="1" applyAlignment="1">
      <alignment horizontal="center" vertical="center"/>
    </xf>
    <xf numFmtId="2" fontId="11" fillId="0" borderId="25" xfId="0" applyNumberFormat="1" applyFont="1" applyBorder="1" applyAlignment="1">
      <alignment horizontal="center" vertical="center"/>
    </xf>
    <xf numFmtId="2" fontId="22" fillId="2" borderId="3" xfId="0" applyNumberFormat="1" applyFont="1" applyFill="1" applyBorder="1" applyAlignment="1">
      <alignment horizontal="center" vertical="center"/>
    </xf>
    <xf numFmtId="2" fontId="11" fillId="0" borderId="30" xfId="0" applyNumberFormat="1" applyFont="1" applyBorder="1" applyAlignment="1">
      <alignment horizontal="center" vertical="center"/>
    </xf>
    <xf numFmtId="2" fontId="11" fillId="2" borderId="3" xfId="0" applyNumberFormat="1" applyFont="1" applyFill="1" applyBorder="1" applyAlignment="1">
      <alignment horizontal="center" vertical="center"/>
    </xf>
    <xf numFmtId="2" fontId="11" fillId="0" borderId="75" xfId="0" applyNumberFormat="1" applyFont="1" applyBorder="1" applyAlignment="1">
      <alignment horizontal="center" vertical="center"/>
    </xf>
    <xf numFmtId="2" fontId="11" fillId="0" borderId="3" xfId="0" applyNumberFormat="1" applyFont="1" applyBorder="1" applyAlignment="1">
      <alignment horizontal="center" vertical="center"/>
    </xf>
    <xf numFmtId="0" fontId="11" fillId="0" borderId="76" xfId="0" applyFont="1" applyBorder="1" applyAlignment="1" applyProtection="1">
      <alignment horizontal="center" vertical="center"/>
      <protection hidden="1"/>
    </xf>
    <xf numFmtId="0" fontId="17" fillId="0" borderId="77" xfId="0" applyFont="1" applyBorder="1" applyAlignment="1" applyProtection="1">
      <alignment horizontal="left" vertical="center" wrapText="1"/>
      <protection hidden="1"/>
    </xf>
    <xf numFmtId="2" fontId="22" fillId="2" borderId="77" xfId="0" applyNumberFormat="1" applyFont="1" applyFill="1" applyBorder="1" applyAlignment="1">
      <alignment horizontal="center" vertical="center" wrapText="1"/>
    </xf>
    <xf numFmtId="2" fontId="22" fillId="2" borderId="78" xfId="0" applyNumberFormat="1" applyFont="1" applyFill="1" applyBorder="1" applyAlignment="1">
      <alignment horizontal="center" vertical="center"/>
    </xf>
    <xf numFmtId="2" fontId="11" fillId="0" borderId="79" xfId="0" applyNumberFormat="1" applyFont="1" applyBorder="1" applyAlignment="1">
      <alignment horizontal="center" vertical="center"/>
    </xf>
    <xf numFmtId="2" fontId="11" fillId="0" borderId="80" xfId="0" applyNumberFormat="1" applyFont="1" applyBorder="1" applyAlignment="1">
      <alignment horizontal="center" vertical="center"/>
    </xf>
    <xf numFmtId="2" fontId="11" fillId="0" borderId="81" xfId="0" applyNumberFormat="1" applyFont="1" applyBorder="1" applyAlignment="1">
      <alignment horizontal="center" vertical="center"/>
    </xf>
    <xf numFmtId="2" fontId="22" fillId="2" borderId="77" xfId="0" applyNumberFormat="1" applyFont="1" applyFill="1" applyBorder="1" applyAlignment="1">
      <alignment horizontal="center" vertical="center"/>
    </xf>
    <xf numFmtId="2" fontId="11" fillId="0" borderId="82" xfId="0" applyNumberFormat="1" applyFont="1" applyBorder="1" applyAlignment="1">
      <alignment horizontal="center" vertical="center"/>
    </xf>
    <xf numFmtId="2" fontId="11" fillId="2" borderId="77" xfId="0" applyNumberFormat="1" applyFont="1" applyFill="1" applyBorder="1" applyAlignment="1">
      <alignment horizontal="center" vertical="center"/>
    </xf>
    <xf numFmtId="2" fontId="11" fillId="0" borderId="78" xfId="0" applyNumberFormat="1" applyFont="1" applyBorder="1" applyAlignment="1">
      <alignment horizontal="center" vertical="center"/>
    </xf>
    <xf numFmtId="2" fontId="22" fillId="2" borderId="42" xfId="0" applyNumberFormat="1" applyFont="1" applyFill="1" applyBorder="1" applyAlignment="1" applyProtection="1">
      <alignment horizontal="center" vertical="center" wrapText="1"/>
      <protection hidden="1"/>
    </xf>
    <xf numFmtId="2" fontId="22" fillId="2" borderId="44" xfId="0" applyNumberFormat="1" applyFont="1" applyFill="1" applyBorder="1" applyAlignment="1" applyProtection="1">
      <alignment horizontal="center" vertical="center" wrapText="1"/>
      <protection hidden="1"/>
    </xf>
    <xf numFmtId="2" fontId="22" fillId="2" borderId="45" xfId="0" applyNumberFormat="1" applyFont="1" applyFill="1" applyBorder="1" applyAlignment="1" applyProtection="1">
      <alignment horizontal="center" vertical="center" wrapText="1"/>
      <protection hidden="1"/>
    </xf>
    <xf numFmtId="2" fontId="22" fillId="2" borderId="46" xfId="0" applyNumberFormat="1" applyFont="1" applyFill="1" applyBorder="1" applyAlignment="1" applyProtection="1">
      <alignment horizontal="center" vertical="center" wrapText="1"/>
      <protection hidden="1"/>
    </xf>
    <xf numFmtId="2" fontId="22" fillId="2" borderId="47" xfId="0" applyNumberFormat="1" applyFont="1" applyFill="1" applyBorder="1" applyAlignment="1" applyProtection="1">
      <alignment horizontal="center" vertical="center" wrapText="1"/>
      <protection hidden="1"/>
    </xf>
    <xf numFmtId="2" fontId="22" fillId="2" borderId="48" xfId="0" applyNumberFormat="1" applyFont="1" applyFill="1" applyBorder="1" applyAlignment="1" applyProtection="1">
      <alignment horizontal="center" vertical="center" wrapText="1"/>
      <protection hidden="1"/>
    </xf>
    <xf numFmtId="2" fontId="16" fillId="2" borderId="5" xfId="0" applyNumberFormat="1" applyFont="1" applyFill="1" applyBorder="1" applyAlignment="1" applyProtection="1">
      <alignment horizontal="center" vertical="center" wrapText="1"/>
      <protection hidden="1"/>
    </xf>
    <xf numFmtId="2" fontId="16" fillId="2" borderId="50" xfId="0" applyNumberFormat="1" applyFont="1" applyFill="1" applyBorder="1" applyAlignment="1" applyProtection="1">
      <alignment horizontal="center" vertical="center" wrapText="1"/>
      <protection hidden="1"/>
    </xf>
    <xf numFmtId="2" fontId="16" fillId="2" borderId="35" xfId="0" applyNumberFormat="1" applyFont="1" applyFill="1" applyBorder="1" applyAlignment="1" applyProtection="1">
      <alignment horizontal="center" vertical="center" wrapText="1"/>
      <protection hidden="1"/>
    </xf>
    <xf numFmtId="2" fontId="16" fillId="2" borderId="36" xfId="0" applyNumberFormat="1" applyFont="1" applyFill="1" applyBorder="1" applyAlignment="1" applyProtection="1">
      <alignment horizontal="center" vertical="center" wrapText="1"/>
      <protection hidden="1"/>
    </xf>
    <xf numFmtId="2" fontId="16" fillId="2" borderId="29" xfId="0" applyNumberFormat="1" applyFont="1" applyFill="1" applyBorder="1" applyAlignment="1" applyProtection="1">
      <alignment horizontal="center" vertical="center" wrapText="1"/>
      <protection hidden="1"/>
    </xf>
    <xf numFmtId="2" fontId="16" fillId="2" borderId="51" xfId="0" applyNumberFormat="1" applyFont="1" applyFill="1" applyBorder="1" applyAlignment="1" applyProtection="1">
      <alignment horizontal="center" vertical="center" wrapText="1"/>
      <protection hidden="1"/>
    </xf>
    <xf numFmtId="2" fontId="17" fillId="0" borderId="5" xfId="0" applyNumberFormat="1" applyFont="1" applyBorder="1" applyAlignment="1" applyProtection="1">
      <alignment horizontal="center" vertical="center" wrapText="1"/>
      <protection hidden="1"/>
    </xf>
    <xf numFmtId="2" fontId="17" fillId="2" borderId="50" xfId="0" applyNumberFormat="1" applyFont="1" applyFill="1" applyBorder="1" applyAlignment="1" applyProtection="1">
      <alignment horizontal="center" vertical="center" wrapText="1"/>
      <protection hidden="1"/>
    </xf>
    <xf numFmtId="2" fontId="17" fillId="2" borderId="35" xfId="0" applyNumberFormat="1" applyFont="1" applyFill="1" applyBorder="1" applyAlignment="1" applyProtection="1">
      <alignment horizontal="center" vertical="center" wrapText="1"/>
      <protection hidden="1"/>
    </xf>
    <xf numFmtId="2" fontId="17" fillId="2" borderId="36" xfId="0" applyNumberFormat="1" applyFont="1" applyFill="1" applyBorder="1" applyAlignment="1" applyProtection="1">
      <alignment horizontal="center" vertical="center" wrapText="1"/>
      <protection hidden="1"/>
    </xf>
    <xf numFmtId="2" fontId="17" fillId="2" borderId="29" xfId="0" applyNumberFormat="1" applyFont="1" applyFill="1" applyBorder="1" applyAlignment="1" applyProtection="1">
      <alignment horizontal="center" vertical="center" wrapText="1"/>
      <protection hidden="1"/>
    </xf>
    <xf numFmtId="2" fontId="17" fillId="2" borderId="51" xfId="0" applyNumberFormat="1" applyFont="1" applyFill="1" applyBorder="1" applyAlignment="1" applyProtection="1">
      <alignment horizontal="center" vertical="center" wrapText="1"/>
      <protection hidden="1"/>
    </xf>
    <xf numFmtId="2" fontId="16" fillId="2" borderId="2" xfId="0" applyNumberFormat="1" applyFont="1" applyFill="1" applyBorder="1" applyAlignment="1" applyProtection="1">
      <alignment horizontal="center" vertical="center" wrapText="1"/>
      <protection hidden="1"/>
    </xf>
    <xf numFmtId="2" fontId="16" fillId="2" borderId="56" xfId="0" applyNumberFormat="1" applyFont="1" applyFill="1" applyBorder="1" applyAlignment="1" applyProtection="1">
      <alignment horizontal="center" vertical="center"/>
      <protection hidden="1"/>
    </xf>
    <xf numFmtId="2" fontId="16" fillId="2" borderId="20" xfId="0" applyNumberFormat="1" applyFont="1" applyFill="1" applyBorder="1" applyAlignment="1" applyProtection="1">
      <alignment horizontal="center" vertical="center"/>
      <protection hidden="1"/>
    </xf>
    <xf numFmtId="2" fontId="16" fillId="2" borderId="21" xfId="0" applyNumberFormat="1" applyFont="1" applyFill="1" applyBorder="1" applyAlignment="1" applyProtection="1">
      <alignment horizontal="center" vertical="center"/>
      <protection hidden="1"/>
    </xf>
    <xf numFmtId="2" fontId="16" fillId="2" borderId="22" xfId="0" applyNumberFormat="1" applyFont="1" applyFill="1" applyBorder="1" applyAlignment="1" applyProtection="1">
      <alignment horizontal="center" vertical="center"/>
      <protection hidden="1"/>
    </xf>
    <xf numFmtId="2" fontId="16" fillId="2" borderId="2" xfId="0" applyNumberFormat="1" applyFont="1" applyFill="1" applyBorder="1" applyAlignment="1" applyProtection="1">
      <alignment horizontal="center" vertical="center"/>
      <protection hidden="1"/>
    </xf>
    <xf numFmtId="2" fontId="16" fillId="2" borderId="57" xfId="0" applyNumberFormat="1" applyFont="1" applyFill="1" applyBorder="1" applyAlignment="1" applyProtection="1">
      <alignment horizontal="center" vertical="center"/>
      <protection hidden="1"/>
    </xf>
    <xf numFmtId="2" fontId="17" fillId="0" borderId="3" xfId="0" applyNumberFormat="1" applyFont="1" applyBorder="1" applyAlignment="1" applyProtection="1">
      <alignment horizontal="center" vertical="center" wrapText="1"/>
      <protection hidden="1"/>
    </xf>
    <xf numFmtId="2" fontId="17" fillId="0" borderId="2" xfId="0" applyNumberFormat="1" applyFont="1" applyBorder="1" applyAlignment="1" applyProtection="1">
      <alignment horizontal="center" vertical="center" wrapText="1"/>
      <protection hidden="1"/>
    </xf>
    <xf numFmtId="2" fontId="22" fillId="2" borderId="5" xfId="0" applyNumberFormat="1" applyFont="1" applyFill="1" applyBorder="1" applyAlignment="1">
      <alignment horizontal="center" vertical="center" wrapText="1"/>
    </xf>
    <xf numFmtId="2" fontId="22" fillId="2" borderId="50" xfId="0" applyNumberFormat="1" applyFont="1" applyFill="1" applyBorder="1" applyAlignment="1">
      <alignment horizontal="center" vertical="center"/>
    </xf>
    <xf numFmtId="2" fontId="11" fillId="2" borderId="35" xfId="0" applyNumberFormat="1" applyFont="1" applyFill="1" applyBorder="1" applyAlignment="1">
      <alignment horizontal="center" vertical="center"/>
    </xf>
    <xf numFmtId="2" fontId="11" fillId="2" borderId="36" xfId="0" applyNumberFormat="1" applyFont="1" applyFill="1" applyBorder="1" applyAlignment="1">
      <alignment horizontal="center" vertical="center"/>
    </xf>
    <xf numFmtId="2" fontId="11" fillId="2" borderId="29" xfId="0" applyNumberFormat="1" applyFont="1" applyFill="1" applyBorder="1" applyAlignment="1">
      <alignment horizontal="center" vertical="center"/>
    </xf>
    <xf numFmtId="2" fontId="22" fillId="2" borderId="5" xfId="0" applyNumberFormat="1" applyFont="1" applyFill="1" applyBorder="1" applyAlignment="1">
      <alignment horizontal="center" vertical="center"/>
    </xf>
    <xf numFmtId="2" fontId="11" fillId="2" borderId="27" xfId="0" applyNumberFormat="1" applyFont="1" applyFill="1" applyBorder="1" applyAlignment="1">
      <alignment horizontal="center" vertical="center"/>
    </xf>
    <xf numFmtId="2" fontId="11" fillId="2" borderId="5" xfId="0" applyNumberFormat="1" applyFont="1" applyFill="1" applyBorder="1" applyAlignment="1">
      <alignment horizontal="center" vertical="center"/>
    </xf>
    <xf numFmtId="2" fontId="11" fillId="2" borderId="51" xfId="0" applyNumberFormat="1" applyFont="1" applyFill="1" applyBorder="1" applyAlignment="1">
      <alignment horizontal="center" vertical="center"/>
    </xf>
    <xf numFmtId="2" fontId="11" fillId="2" borderId="20" xfId="0" applyNumberFormat="1" applyFont="1" applyFill="1" applyBorder="1" applyAlignment="1">
      <alignment horizontal="center" vertical="center"/>
    </xf>
    <xf numFmtId="2" fontId="11" fillId="2" borderId="21" xfId="0" applyNumberFormat="1" applyFont="1" applyFill="1" applyBorder="1" applyAlignment="1">
      <alignment horizontal="center" vertical="center"/>
    </xf>
    <xf numFmtId="2" fontId="11" fillId="2" borderId="22" xfId="0" applyNumberFormat="1" applyFont="1" applyFill="1" applyBorder="1" applyAlignment="1">
      <alignment horizontal="center" vertical="center"/>
    </xf>
    <xf numFmtId="2" fontId="11" fillId="2" borderId="28" xfId="0" applyNumberFormat="1" applyFont="1" applyFill="1" applyBorder="1" applyAlignment="1">
      <alignment horizontal="center" vertical="center"/>
    </xf>
    <xf numFmtId="2" fontId="11" fillId="2" borderId="23" xfId="0" applyNumberFormat="1" applyFont="1" applyFill="1" applyBorder="1" applyAlignment="1">
      <alignment horizontal="center" vertical="center"/>
    </xf>
    <xf numFmtId="2" fontId="11" fillId="2" borderId="24" xfId="0" applyNumberFormat="1" applyFont="1" applyFill="1" applyBorder="1" applyAlignment="1">
      <alignment horizontal="center" vertical="center"/>
    </xf>
    <xf numFmtId="2" fontId="11" fillId="2" borderId="25" xfId="0" applyNumberFormat="1" applyFont="1" applyFill="1" applyBorder="1" applyAlignment="1">
      <alignment horizontal="center" vertical="center"/>
    </xf>
    <xf numFmtId="2" fontId="11" fillId="2" borderId="30" xfId="0" applyNumberFormat="1" applyFont="1" applyFill="1" applyBorder="1" applyAlignment="1">
      <alignment horizontal="center" vertical="center"/>
    </xf>
    <xf numFmtId="2" fontId="11" fillId="2" borderId="75" xfId="0" applyNumberFormat="1" applyFont="1" applyFill="1" applyBorder="1" applyAlignment="1">
      <alignment horizontal="center" vertical="center"/>
    </xf>
    <xf numFmtId="0" fontId="11" fillId="0" borderId="6" xfId="0" applyFont="1" applyBorder="1" applyAlignment="1" applyProtection="1">
      <alignment horizontal="center" vertical="center"/>
      <protection hidden="1"/>
    </xf>
    <xf numFmtId="0" fontId="17" fillId="0" borderId="6" xfId="0" applyFont="1" applyBorder="1" applyAlignment="1" applyProtection="1">
      <alignment horizontal="left" vertical="center" wrapText="1"/>
      <protection hidden="1"/>
    </xf>
    <xf numFmtId="2" fontId="22" fillId="2" borderId="6" xfId="0" applyNumberFormat="1" applyFont="1" applyFill="1" applyBorder="1" applyAlignment="1">
      <alignment horizontal="center" vertical="center" wrapText="1"/>
    </xf>
    <xf numFmtId="2" fontId="22" fillId="2" borderId="83" xfId="0" applyNumberFormat="1" applyFont="1" applyFill="1" applyBorder="1" applyAlignment="1">
      <alignment horizontal="center" vertical="center"/>
    </xf>
    <xf numFmtId="2" fontId="11" fillId="2" borderId="37" xfId="0" applyNumberFormat="1" applyFont="1" applyFill="1" applyBorder="1" applyAlignment="1">
      <alignment horizontal="center" vertical="center"/>
    </xf>
    <xf numFmtId="2" fontId="11" fillId="2" borderId="32" xfId="0" applyNumberFormat="1" applyFont="1" applyFill="1" applyBorder="1" applyAlignment="1">
      <alignment horizontal="center" vertical="center"/>
    </xf>
    <xf numFmtId="2" fontId="11" fillId="2" borderId="33" xfId="0" applyNumberFormat="1" applyFont="1" applyFill="1" applyBorder="1" applyAlignment="1">
      <alignment horizontal="center" vertical="center"/>
    </xf>
    <xf numFmtId="2" fontId="22" fillId="2" borderId="6" xfId="0" applyNumberFormat="1" applyFont="1" applyFill="1" applyBorder="1" applyAlignment="1">
      <alignment horizontal="center" vertical="center"/>
    </xf>
    <xf numFmtId="2" fontId="11" fillId="2" borderId="31" xfId="0" applyNumberFormat="1" applyFont="1" applyFill="1" applyBorder="1" applyAlignment="1">
      <alignment horizontal="center" vertical="center"/>
    </xf>
    <xf numFmtId="2" fontId="11" fillId="2" borderId="6" xfId="0" applyNumberFormat="1" applyFont="1" applyFill="1" applyBorder="1" applyAlignment="1">
      <alignment horizontal="center" vertical="center"/>
    </xf>
    <xf numFmtId="2" fontId="11" fillId="2" borderId="84" xfId="0" applyNumberFormat="1" applyFont="1" applyFill="1" applyBorder="1" applyAlignment="1">
      <alignment horizontal="center" vertical="center"/>
    </xf>
    <xf numFmtId="0" fontId="16" fillId="0" borderId="38" xfId="0" applyFont="1" applyBorder="1" applyAlignment="1" applyProtection="1">
      <alignment horizontal="center" vertical="center"/>
      <protection hidden="1"/>
    </xf>
    <xf numFmtId="0" fontId="16" fillId="0" borderId="106" xfId="0" applyFont="1" applyBorder="1" applyAlignment="1" applyProtection="1">
      <alignment horizontal="center" vertical="center" wrapText="1"/>
      <protection hidden="1"/>
    </xf>
    <xf numFmtId="2" fontId="16" fillId="2" borderId="1" xfId="0" applyNumberFormat="1" applyFont="1" applyFill="1" applyBorder="1" applyAlignment="1">
      <alignment horizontal="center" vertical="center" wrapText="1"/>
    </xf>
    <xf numFmtId="2" fontId="16" fillId="2" borderId="39" xfId="0" applyNumberFormat="1" applyFont="1" applyFill="1" applyBorder="1" applyAlignment="1">
      <alignment horizontal="center" vertical="center"/>
    </xf>
    <xf numFmtId="2" fontId="16" fillId="2" borderId="11" xfId="0" applyNumberFormat="1" applyFont="1" applyFill="1" applyBorder="1" applyAlignment="1">
      <alignment horizontal="center" vertical="center"/>
    </xf>
    <xf numFmtId="2" fontId="16" fillId="2" borderId="12"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1" xfId="0" applyNumberFormat="1" applyFont="1" applyFill="1" applyBorder="1" applyAlignment="1">
      <alignment horizontal="center" vertical="center"/>
    </xf>
    <xf numFmtId="2" fontId="16" fillId="2" borderId="38" xfId="0" applyNumberFormat="1" applyFont="1" applyFill="1" applyBorder="1" applyAlignment="1">
      <alignment horizontal="center" vertical="center"/>
    </xf>
    <xf numFmtId="2" fontId="16" fillId="2" borderId="41" xfId="0" applyNumberFormat="1" applyFont="1" applyFill="1" applyBorder="1" applyAlignment="1">
      <alignment horizontal="center" vertical="center"/>
    </xf>
    <xf numFmtId="0" fontId="16" fillId="0" borderId="42" xfId="0" applyFont="1" applyBorder="1" applyAlignment="1">
      <alignment horizontal="center" vertical="center"/>
    </xf>
    <xf numFmtId="0" fontId="16" fillId="0" borderId="42" xfId="0" applyFont="1" applyBorder="1" applyAlignment="1" applyProtection="1">
      <alignment horizontal="center" vertical="center"/>
      <protection hidden="1"/>
    </xf>
    <xf numFmtId="4" fontId="16" fillId="2" borderId="42" xfId="0" applyNumberFormat="1" applyFont="1" applyFill="1" applyBorder="1" applyAlignment="1" applyProtection="1">
      <alignment horizontal="center" vertical="center" wrapText="1"/>
      <protection hidden="1"/>
    </xf>
    <xf numFmtId="4" fontId="16" fillId="2" borderId="44" xfId="0" applyNumberFormat="1" applyFont="1" applyFill="1" applyBorder="1" applyAlignment="1" applyProtection="1">
      <alignment horizontal="center" vertical="center" wrapText="1"/>
      <protection hidden="1"/>
    </xf>
    <xf numFmtId="4" fontId="16" fillId="2" borderId="45" xfId="0" applyNumberFormat="1" applyFont="1" applyFill="1" applyBorder="1" applyAlignment="1" applyProtection="1">
      <alignment horizontal="center" vertical="center" wrapText="1"/>
      <protection hidden="1"/>
    </xf>
    <xf numFmtId="4" fontId="16" fillId="2" borderId="46" xfId="0" applyNumberFormat="1" applyFont="1" applyFill="1" applyBorder="1" applyAlignment="1" applyProtection="1">
      <alignment horizontal="center" vertical="center" wrapText="1"/>
      <protection hidden="1"/>
    </xf>
    <xf numFmtId="4" fontId="16" fillId="2" borderId="47" xfId="0" applyNumberFormat="1" applyFont="1" applyFill="1" applyBorder="1" applyAlignment="1" applyProtection="1">
      <alignment horizontal="center" vertical="center" wrapText="1"/>
      <protection hidden="1"/>
    </xf>
    <xf numFmtId="4" fontId="16" fillId="2" borderId="48" xfId="0" applyNumberFormat="1" applyFont="1" applyFill="1" applyBorder="1" applyAlignment="1" applyProtection="1">
      <alignment horizontal="center" vertical="center" wrapText="1"/>
      <protection hidden="1"/>
    </xf>
    <xf numFmtId="4" fontId="16" fillId="2" borderId="108" xfId="0" applyNumberFormat="1" applyFont="1" applyFill="1" applyBorder="1" applyAlignment="1" applyProtection="1">
      <alignment horizontal="center" vertical="center" wrapText="1"/>
      <protection hidden="1"/>
    </xf>
    <xf numFmtId="4" fontId="17" fillId="0" borderId="109" xfId="0" applyNumberFormat="1" applyFont="1" applyBorder="1" applyAlignment="1" applyProtection="1">
      <alignment horizontal="center" vertical="center" wrapText="1"/>
      <protection hidden="1"/>
    </xf>
    <xf numFmtId="4" fontId="17" fillId="0" borderId="110" xfId="0" applyNumberFormat="1" applyFont="1" applyBorder="1" applyAlignment="1" applyProtection="1">
      <alignment horizontal="center" vertical="center" wrapText="1"/>
      <protection hidden="1"/>
    </xf>
    <xf numFmtId="4" fontId="17" fillId="0" borderId="89" xfId="0" applyNumberFormat="1" applyFont="1" applyBorder="1" applyAlignment="1" applyProtection="1">
      <alignment horizontal="center" vertical="center" wrapText="1"/>
      <protection hidden="1"/>
    </xf>
    <xf numFmtId="4" fontId="17" fillId="0" borderId="0" xfId="0" applyNumberFormat="1" applyFont="1" applyAlignment="1" applyProtection="1">
      <alignment horizontal="center" vertical="center" wrapText="1"/>
      <protection hidden="1"/>
    </xf>
    <xf numFmtId="0" fontId="17" fillId="0" borderId="27" xfId="0" applyFont="1" applyBorder="1" applyAlignment="1" applyProtection="1">
      <alignment horizontal="center" vertical="center"/>
      <protection hidden="1"/>
    </xf>
    <xf numFmtId="0" fontId="17" fillId="0" borderId="28" xfId="0" applyFont="1" applyBorder="1" applyAlignment="1" applyProtection="1">
      <alignment horizontal="center" vertical="center"/>
      <protection hidden="1"/>
    </xf>
    <xf numFmtId="0" fontId="17" fillId="0" borderId="30" xfId="0" applyFont="1" applyBorder="1" applyAlignment="1" applyProtection="1">
      <alignment horizontal="center" vertical="center"/>
      <protection hidden="1"/>
    </xf>
    <xf numFmtId="2" fontId="16" fillId="2" borderId="3" xfId="0" applyNumberFormat="1" applyFont="1" applyFill="1" applyBorder="1" applyAlignment="1">
      <alignment horizontal="center" vertical="center" wrapText="1"/>
    </xf>
    <xf numFmtId="2" fontId="16" fillId="2" borderId="74" xfId="0" applyNumberFormat="1" applyFont="1" applyFill="1" applyBorder="1" applyAlignment="1">
      <alignment horizontal="center" vertical="center"/>
    </xf>
    <xf numFmtId="2" fontId="17" fillId="0" borderId="23" xfId="0" applyNumberFormat="1" applyFont="1" applyBorder="1" applyAlignment="1">
      <alignment horizontal="center" vertical="center"/>
    </xf>
    <xf numFmtId="2" fontId="17" fillId="0" borderId="24" xfId="0" applyNumberFormat="1" applyFont="1" applyBorder="1" applyAlignment="1">
      <alignment horizontal="center" vertical="center"/>
    </xf>
    <xf numFmtId="2" fontId="17" fillId="0" borderId="25" xfId="0" applyNumberFormat="1" applyFont="1" applyBorder="1" applyAlignment="1">
      <alignment horizontal="center" vertical="center"/>
    </xf>
    <xf numFmtId="2" fontId="16" fillId="2" borderId="3" xfId="0" applyNumberFormat="1" applyFont="1" applyFill="1" applyBorder="1" applyAlignment="1">
      <alignment horizontal="center" vertical="center"/>
    </xf>
    <xf numFmtId="2" fontId="17" fillId="0" borderId="30" xfId="0" applyNumberFormat="1" applyFont="1" applyBorder="1" applyAlignment="1">
      <alignment horizontal="center" vertical="center"/>
    </xf>
    <xf numFmtId="2" fontId="17" fillId="2" borderId="3" xfId="0" applyNumberFormat="1" applyFont="1" applyFill="1" applyBorder="1" applyAlignment="1">
      <alignment horizontal="center" vertical="center"/>
    </xf>
    <xf numFmtId="2" fontId="17" fillId="0" borderId="75" xfId="0" applyNumberFormat="1" applyFont="1" applyBorder="1" applyAlignment="1">
      <alignment horizontal="center" vertical="center"/>
    </xf>
    <xf numFmtId="2" fontId="17" fillId="0" borderId="3" xfId="0" applyNumberFormat="1" applyFont="1" applyBorder="1" applyAlignment="1">
      <alignment horizontal="center" vertical="center"/>
    </xf>
    <xf numFmtId="0" fontId="17" fillId="0" borderId="76" xfId="0" applyFont="1" applyBorder="1" applyAlignment="1" applyProtection="1">
      <alignment horizontal="center" vertical="center"/>
      <protection hidden="1"/>
    </xf>
    <xf numFmtId="2" fontId="16" fillId="2" borderId="77" xfId="0" applyNumberFormat="1" applyFont="1" applyFill="1" applyBorder="1" applyAlignment="1">
      <alignment horizontal="center" vertical="center" wrapText="1"/>
    </xf>
    <xf numFmtId="2" fontId="16" fillId="2" borderId="78" xfId="0" applyNumberFormat="1" applyFont="1" applyFill="1" applyBorder="1" applyAlignment="1">
      <alignment horizontal="center" vertical="center"/>
    </xf>
    <xf numFmtId="2" fontId="17" fillId="0" borderId="79" xfId="0" applyNumberFormat="1" applyFont="1" applyBorder="1" applyAlignment="1">
      <alignment horizontal="center" vertical="center"/>
    </xf>
    <xf numFmtId="2" fontId="17" fillId="0" borderId="80" xfId="0" applyNumberFormat="1" applyFont="1" applyBorder="1" applyAlignment="1">
      <alignment horizontal="center" vertical="center"/>
    </xf>
    <xf numFmtId="2" fontId="17" fillId="0" borderId="81" xfId="0" applyNumberFormat="1" applyFont="1" applyBorder="1" applyAlignment="1">
      <alignment horizontal="center" vertical="center"/>
    </xf>
    <xf numFmtId="2" fontId="16" fillId="2" borderId="77" xfId="0" applyNumberFormat="1" applyFont="1" applyFill="1" applyBorder="1" applyAlignment="1">
      <alignment horizontal="center" vertical="center"/>
    </xf>
    <xf numFmtId="2" fontId="17" fillId="0" borderId="82" xfId="0" applyNumberFormat="1" applyFont="1" applyBorder="1" applyAlignment="1">
      <alignment horizontal="center" vertical="center"/>
    </xf>
    <xf numFmtId="2" fontId="17" fillId="2" borderId="77" xfId="0" applyNumberFormat="1" applyFont="1" applyFill="1" applyBorder="1" applyAlignment="1">
      <alignment horizontal="center" vertical="center"/>
    </xf>
    <xf numFmtId="2" fontId="17" fillId="0" borderId="78" xfId="0" applyNumberFormat="1" applyFont="1" applyBorder="1" applyAlignment="1">
      <alignment horizontal="center" vertical="center"/>
    </xf>
    <xf numFmtId="2" fontId="17" fillId="2" borderId="35" xfId="0" applyNumberFormat="1" applyFont="1" applyFill="1" applyBorder="1" applyAlignment="1">
      <alignment horizontal="center" vertical="center"/>
    </xf>
    <xf numFmtId="2" fontId="17" fillId="2" borderId="36" xfId="0" applyNumberFormat="1" applyFont="1" applyFill="1" applyBorder="1" applyAlignment="1">
      <alignment horizontal="center" vertical="center"/>
    </xf>
    <xf numFmtId="2" fontId="17" fillId="2" borderId="29" xfId="0" applyNumberFormat="1" applyFont="1" applyFill="1" applyBorder="1" applyAlignment="1">
      <alignment horizontal="center" vertical="center"/>
    </xf>
    <xf numFmtId="2" fontId="17" fillId="2" borderId="27" xfId="0" applyNumberFormat="1" applyFont="1" applyFill="1" applyBorder="1" applyAlignment="1">
      <alignment horizontal="center" vertical="center"/>
    </xf>
    <xf numFmtId="2" fontId="17" fillId="2" borderId="51" xfId="0" applyNumberFormat="1" applyFont="1" applyFill="1" applyBorder="1" applyAlignment="1">
      <alignment horizontal="center" vertical="center"/>
    </xf>
    <xf numFmtId="2" fontId="17" fillId="2" borderId="20" xfId="0" applyNumberFormat="1" applyFont="1" applyFill="1" applyBorder="1" applyAlignment="1">
      <alignment horizontal="center" vertical="center"/>
    </xf>
    <xf numFmtId="2" fontId="17" fillId="2" borderId="21" xfId="0" applyNumberFormat="1" applyFont="1" applyFill="1" applyBorder="1" applyAlignment="1">
      <alignment horizontal="center" vertical="center"/>
    </xf>
    <xf numFmtId="2" fontId="17" fillId="2" borderId="22" xfId="0" applyNumberFormat="1" applyFont="1" applyFill="1" applyBorder="1" applyAlignment="1">
      <alignment horizontal="center" vertical="center"/>
    </xf>
    <xf numFmtId="2" fontId="17" fillId="2" borderId="28" xfId="0" applyNumberFormat="1" applyFont="1" applyFill="1" applyBorder="1" applyAlignment="1">
      <alignment horizontal="center" vertical="center"/>
    </xf>
    <xf numFmtId="2" fontId="17" fillId="2" borderId="23" xfId="0" applyNumberFormat="1" applyFont="1" applyFill="1" applyBorder="1" applyAlignment="1">
      <alignment horizontal="center" vertical="center"/>
    </xf>
    <xf numFmtId="2" fontId="17" fillId="2" borderId="24" xfId="0" applyNumberFormat="1" applyFont="1" applyFill="1" applyBorder="1" applyAlignment="1">
      <alignment horizontal="center" vertical="center"/>
    </xf>
    <xf numFmtId="2" fontId="17" fillId="2" borderId="25" xfId="0" applyNumberFormat="1" applyFont="1" applyFill="1" applyBorder="1" applyAlignment="1">
      <alignment horizontal="center" vertical="center"/>
    </xf>
    <xf numFmtId="2" fontId="17" fillId="2" borderId="30" xfId="0" applyNumberFormat="1" applyFont="1" applyFill="1" applyBorder="1" applyAlignment="1">
      <alignment horizontal="center" vertical="center"/>
    </xf>
    <xf numFmtId="2" fontId="17" fillId="2" borderId="75" xfId="0" applyNumberFormat="1" applyFont="1" applyFill="1" applyBorder="1" applyAlignment="1">
      <alignment horizontal="center" vertical="center"/>
    </xf>
    <xf numFmtId="0" fontId="17" fillId="0" borderId="6" xfId="0" applyFont="1" applyBorder="1" applyAlignment="1" applyProtection="1">
      <alignment horizontal="center" vertical="center"/>
      <protection hidden="1"/>
    </xf>
    <xf numFmtId="2" fontId="16" fillId="2" borderId="6" xfId="0" applyNumberFormat="1" applyFont="1" applyFill="1" applyBorder="1" applyAlignment="1">
      <alignment horizontal="center" vertical="center" wrapText="1"/>
    </xf>
    <xf numFmtId="2" fontId="16" fillId="2" borderId="83" xfId="0" applyNumberFormat="1" applyFont="1" applyFill="1" applyBorder="1" applyAlignment="1">
      <alignment horizontal="center" vertical="center"/>
    </xf>
    <xf numFmtId="2" fontId="17" fillId="2" borderId="37" xfId="0" applyNumberFormat="1" applyFont="1" applyFill="1" applyBorder="1" applyAlignment="1">
      <alignment horizontal="center" vertical="center"/>
    </xf>
    <xf numFmtId="2" fontId="17" fillId="2" borderId="32" xfId="0" applyNumberFormat="1" applyFont="1" applyFill="1" applyBorder="1" applyAlignment="1">
      <alignment horizontal="center" vertical="center"/>
    </xf>
    <xf numFmtId="2" fontId="17" fillId="2" borderId="33" xfId="0" applyNumberFormat="1" applyFont="1" applyFill="1" applyBorder="1" applyAlignment="1">
      <alignment horizontal="center" vertical="center"/>
    </xf>
    <xf numFmtId="2" fontId="16" fillId="2" borderId="6" xfId="0" applyNumberFormat="1" applyFont="1" applyFill="1" applyBorder="1" applyAlignment="1">
      <alignment horizontal="center" vertical="center"/>
    </xf>
    <xf numFmtId="2" fontId="17" fillId="2" borderId="31" xfId="0" applyNumberFormat="1" applyFont="1" applyFill="1" applyBorder="1" applyAlignment="1">
      <alignment horizontal="center" vertical="center"/>
    </xf>
    <xf numFmtId="2" fontId="17" fillId="2" borderId="6" xfId="0" applyNumberFormat="1" applyFont="1" applyFill="1" applyBorder="1" applyAlignment="1">
      <alignment horizontal="center" vertical="center"/>
    </xf>
    <xf numFmtId="2" fontId="17" fillId="2" borderId="84" xfId="0" applyNumberFormat="1" applyFont="1" applyFill="1" applyBorder="1" applyAlignment="1">
      <alignment horizontal="center" vertical="center"/>
    </xf>
    <xf numFmtId="0" fontId="15" fillId="0" borderId="0" xfId="0" applyFont="1" applyAlignment="1">
      <alignment horizontal="left" vertical="center" wrapText="1"/>
    </xf>
    <xf numFmtId="0" fontId="16" fillId="0" borderId="1" xfId="2" applyFont="1" applyBorder="1" applyAlignment="1">
      <alignment horizontal="center" vertical="center"/>
    </xf>
    <xf numFmtId="0" fontId="16" fillId="0" borderId="41" xfId="2" applyFont="1" applyBorder="1" applyAlignment="1">
      <alignment horizontal="center" vertical="center"/>
    </xf>
    <xf numFmtId="173" fontId="16" fillId="0" borderId="12" xfId="2" applyNumberFormat="1" applyFont="1" applyBorder="1" applyAlignment="1">
      <alignment horizontal="center" vertical="center" wrapText="1"/>
    </xf>
    <xf numFmtId="3" fontId="16" fillId="0" borderId="39" xfId="2" applyNumberFormat="1" applyFont="1" applyBorder="1" applyAlignment="1" applyProtection="1">
      <alignment horizontal="center" vertical="center" wrapText="1"/>
      <protection locked="0"/>
    </xf>
    <xf numFmtId="0" fontId="30" fillId="0" borderId="43" xfId="2" applyFont="1" applyBorder="1" applyAlignment="1">
      <alignment horizontal="center" vertical="center"/>
    </xf>
    <xf numFmtId="0" fontId="16" fillId="0" borderId="48" xfId="2" applyFont="1" applyBorder="1" applyAlignment="1">
      <alignment horizontal="center" vertical="center"/>
    </xf>
    <xf numFmtId="3" fontId="30" fillId="0" borderId="48" xfId="2" applyNumberFormat="1" applyFont="1" applyBorder="1" applyAlignment="1">
      <alignment horizontal="center" vertical="center"/>
    </xf>
    <xf numFmtId="3" fontId="30" fillId="0" borderId="44" xfId="2" applyNumberFormat="1" applyFont="1" applyBorder="1" applyAlignment="1">
      <alignment horizontal="center" vertical="center"/>
    </xf>
    <xf numFmtId="0" fontId="16" fillId="0" borderId="35" xfId="2" applyFont="1" applyBorder="1" applyAlignment="1">
      <alignment horizontal="center" vertical="center"/>
    </xf>
    <xf numFmtId="0" fontId="16" fillId="0" borderId="49" xfId="2" applyFont="1" applyBorder="1" applyAlignment="1">
      <alignment horizontal="center" vertical="center"/>
    </xf>
    <xf numFmtId="0" fontId="16" fillId="0" borderId="36" xfId="2" applyFont="1" applyBorder="1" applyAlignment="1">
      <alignment horizontal="center" vertical="center"/>
    </xf>
    <xf numFmtId="173" fontId="16" fillId="0" borderId="50" xfId="4" applyNumberFormat="1" applyFont="1" applyBorder="1" applyAlignment="1" applyProtection="1">
      <alignment horizontal="center" vertical="center"/>
      <protection locked="0"/>
    </xf>
    <xf numFmtId="173" fontId="0" fillId="0" borderId="0" xfId="0" applyNumberFormat="1"/>
    <xf numFmtId="0" fontId="16" fillId="0" borderId="23" xfId="2" applyFont="1" applyBorder="1" applyAlignment="1">
      <alignment horizontal="center" vertical="center"/>
    </xf>
    <xf numFmtId="0" fontId="16" fillId="0" borderId="58" xfId="2" applyFont="1" applyBorder="1" applyAlignment="1">
      <alignment horizontal="center" vertical="center"/>
    </xf>
    <xf numFmtId="0" fontId="16" fillId="0" borderId="24" xfId="2" applyFont="1" applyBorder="1" applyAlignment="1">
      <alignment horizontal="center" vertical="center"/>
    </xf>
    <xf numFmtId="173" fontId="16" fillId="0" borderId="74" xfId="2" applyNumberFormat="1" applyFont="1" applyBorder="1" applyAlignment="1" applyProtection="1">
      <alignment horizontal="center" vertical="center"/>
      <protection locked="0"/>
    </xf>
    <xf numFmtId="0" fontId="16" fillId="0" borderId="17" xfId="2" applyFont="1" applyBorder="1" applyAlignment="1">
      <alignment horizontal="center" vertical="center"/>
    </xf>
    <xf numFmtId="0" fontId="16" fillId="0" borderId="26" xfId="2" applyFont="1" applyBorder="1" applyAlignment="1">
      <alignment horizontal="center" vertical="center"/>
    </xf>
    <xf numFmtId="0" fontId="16" fillId="0" borderId="18" xfId="2" applyFont="1" applyBorder="1" applyAlignment="1">
      <alignment horizontal="center" vertical="center"/>
    </xf>
    <xf numFmtId="173" fontId="16" fillId="0" borderId="52" xfId="2" applyNumberFormat="1" applyFont="1" applyBorder="1" applyAlignment="1" applyProtection="1">
      <alignment horizontal="center" vertical="center"/>
      <protection locked="0"/>
    </xf>
    <xf numFmtId="0" fontId="17" fillId="0" borderId="20" xfId="2" applyFont="1" applyBorder="1" applyAlignment="1">
      <alignment horizontal="center" vertical="center"/>
    </xf>
    <xf numFmtId="0" fontId="17" fillId="0" borderId="55" xfId="2" applyFont="1" applyBorder="1" applyAlignment="1">
      <alignment horizontal="right" vertical="center"/>
    </xf>
    <xf numFmtId="0" fontId="17" fillId="0" borderId="21" xfId="2" applyFont="1" applyBorder="1" applyAlignment="1">
      <alignment horizontal="center" vertical="center"/>
    </xf>
    <xf numFmtId="173" fontId="17" fillId="0" borderId="56" xfId="2" applyNumberFormat="1" applyFont="1" applyBorder="1" applyAlignment="1" applyProtection="1">
      <alignment horizontal="right" vertical="center"/>
      <protection locked="0"/>
    </xf>
    <xf numFmtId="0" fontId="30" fillId="0" borderId="23" xfId="2" applyFont="1" applyBorder="1" applyAlignment="1">
      <alignment horizontal="center" vertical="center"/>
    </xf>
    <xf numFmtId="0" fontId="30" fillId="0" borderId="58" xfId="2" applyFont="1" applyBorder="1" applyAlignment="1">
      <alignment horizontal="right" vertical="center"/>
    </xf>
    <xf numFmtId="0" fontId="30" fillId="0" borderId="24" xfId="2" applyFont="1" applyBorder="1" applyAlignment="1">
      <alignment horizontal="center" vertical="center"/>
    </xf>
    <xf numFmtId="173" fontId="30" fillId="0" borderId="74" xfId="2" applyNumberFormat="1" applyFont="1" applyBorder="1" applyAlignment="1" applyProtection="1">
      <alignment horizontal="right" vertical="center"/>
      <protection locked="0"/>
    </xf>
    <xf numFmtId="0" fontId="17" fillId="0" borderId="18" xfId="2" applyFont="1" applyBorder="1" applyAlignment="1">
      <alignment horizontal="center" vertical="center"/>
    </xf>
    <xf numFmtId="173" fontId="16" fillId="2" borderId="52" xfId="2" applyNumberFormat="1" applyFont="1" applyFill="1" applyBorder="1" applyAlignment="1">
      <alignment horizontal="center" vertical="center"/>
    </xf>
    <xf numFmtId="0" fontId="16" fillId="0" borderId="20" xfId="2" applyFont="1" applyBorder="1" applyAlignment="1">
      <alignment horizontal="center" vertical="center"/>
    </xf>
    <xf numFmtId="0" fontId="16" fillId="0" borderId="55" xfId="2" applyFont="1" applyBorder="1" applyAlignment="1">
      <alignment horizontal="center" vertical="center"/>
    </xf>
    <xf numFmtId="0" fontId="16" fillId="0" borderId="21" xfId="2" applyFont="1" applyBorder="1" applyAlignment="1">
      <alignment horizontal="center" vertical="center"/>
    </xf>
    <xf numFmtId="173" fontId="16" fillId="2" borderId="56" xfId="2" applyNumberFormat="1" applyFont="1" applyFill="1" applyBorder="1" applyAlignment="1">
      <alignment horizontal="center" vertical="center"/>
    </xf>
    <xf numFmtId="173" fontId="30" fillId="0" borderId="56" xfId="2" applyNumberFormat="1" applyFont="1" applyBorder="1" applyAlignment="1" applyProtection="1">
      <alignment horizontal="right" vertical="center"/>
      <protection locked="0"/>
    </xf>
    <xf numFmtId="0" fontId="30" fillId="0" borderId="20" xfId="2" applyFont="1" applyBorder="1" applyAlignment="1">
      <alignment horizontal="center" vertical="center"/>
    </xf>
    <xf numFmtId="0" fontId="30" fillId="0" borderId="55" xfId="2" applyFont="1" applyBorder="1" applyAlignment="1">
      <alignment horizontal="right" vertical="center"/>
    </xf>
    <xf numFmtId="0" fontId="30" fillId="0" borderId="21" xfId="2" applyFont="1" applyBorder="1" applyAlignment="1">
      <alignment horizontal="center" vertical="center"/>
    </xf>
    <xf numFmtId="173" fontId="16" fillId="0" borderId="56" xfId="2" applyNumberFormat="1" applyFont="1" applyBorder="1" applyAlignment="1" applyProtection="1">
      <alignment horizontal="center" vertical="center"/>
      <protection locked="0"/>
    </xf>
    <xf numFmtId="0" fontId="16" fillId="0" borderId="11" xfId="2" applyFont="1" applyBorder="1" applyAlignment="1">
      <alignment horizontal="center" vertical="center"/>
    </xf>
    <xf numFmtId="0" fontId="16" fillId="0" borderId="111" xfId="2" applyFont="1" applyBorder="1" applyAlignment="1">
      <alignment horizontal="center" vertical="center"/>
    </xf>
    <xf numFmtId="0" fontId="16" fillId="0" borderId="12" xfId="2" applyFont="1" applyBorder="1" applyAlignment="1">
      <alignment horizontal="center" vertical="center"/>
    </xf>
    <xf numFmtId="173" fontId="16" fillId="0" borderId="39" xfId="2" applyNumberFormat="1" applyFont="1" applyBorder="1" applyAlignment="1" applyProtection="1">
      <alignment horizontal="center" vertical="center"/>
      <protection locked="0"/>
    </xf>
    <xf numFmtId="1" fontId="16" fillId="0" borderId="17" xfId="2" applyNumberFormat="1" applyFont="1" applyBorder="1" applyAlignment="1">
      <alignment horizontal="center" vertical="center"/>
    </xf>
    <xf numFmtId="175" fontId="16" fillId="0" borderId="26" xfId="2" applyNumberFormat="1" applyFont="1" applyBorder="1" applyAlignment="1">
      <alignment horizontal="center" vertical="center"/>
    </xf>
    <xf numFmtId="175" fontId="16" fillId="0" borderId="18" xfId="2" applyNumberFormat="1" applyFont="1" applyBorder="1" applyAlignment="1">
      <alignment horizontal="center" vertical="center"/>
    </xf>
    <xf numFmtId="1" fontId="16" fillId="2" borderId="52" xfId="2" applyNumberFormat="1" applyFont="1" applyFill="1" applyBorder="1" applyAlignment="1">
      <alignment horizontal="center" vertical="center"/>
    </xf>
    <xf numFmtId="16" fontId="17" fillId="0" borderId="20" xfId="2" applyNumberFormat="1" applyFont="1" applyBorder="1" applyAlignment="1">
      <alignment horizontal="center" vertical="center"/>
    </xf>
    <xf numFmtId="175" fontId="17" fillId="2" borderId="56" xfId="2" applyNumberFormat="1" applyFont="1" applyFill="1" applyBorder="1" applyAlignment="1">
      <alignment horizontal="center" vertical="center"/>
    </xf>
    <xf numFmtId="1" fontId="17" fillId="2" borderId="56" xfId="2" applyNumberFormat="1" applyFont="1" applyFill="1" applyBorder="1" applyAlignment="1">
      <alignment horizontal="center" vertical="center"/>
    </xf>
    <xf numFmtId="1" fontId="30" fillId="2" borderId="56" xfId="2" applyNumberFormat="1" applyFont="1" applyFill="1" applyBorder="1" applyAlignment="1">
      <alignment horizontal="center" vertical="center"/>
    </xf>
    <xf numFmtId="0" fontId="30" fillId="0" borderId="107" xfId="2" applyFont="1" applyBorder="1" applyAlignment="1">
      <alignment horizontal="right" vertical="center"/>
    </xf>
    <xf numFmtId="0" fontId="30" fillId="0" borderId="32" xfId="2" applyFont="1" applyBorder="1" applyAlignment="1">
      <alignment horizontal="center" vertical="center"/>
    </xf>
    <xf numFmtId="1" fontId="30" fillId="2" borderId="83" xfId="2" applyNumberFormat="1" applyFont="1" applyFill="1" applyBorder="1" applyAlignment="1">
      <alignment horizontal="center" vertical="center"/>
    </xf>
    <xf numFmtId="173" fontId="17" fillId="0" borderId="56" xfId="2" applyNumberFormat="1" applyFont="1" applyBorder="1" applyAlignment="1" applyProtection="1">
      <alignment horizontal="center" vertical="center"/>
      <protection locked="0"/>
    </xf>
    <xf numFmtId="0" fontId="17" fillId="0" borderId="49" xfId="2" applyFont="1" applyBorder="1" applyAlignment="1">
      <alignment horizontal="right" vertical="center"/>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wrapText="1"/>
      <protection locked="0"/>
    </xf>
    <xf numFmtId="173" fontId="16" fillId="0" borderId="12" xfId="0" applyNumberFormat="1" applyFont="1" applyBorder="1" applyAlignment="1" applyProtection="1">
      <alignment horizontal="center" vertical="center"/>
      <protection hidden="1"/>
    </xf>
    <xf numFmtId="173" fontId="16" fillId="0" borderId="13" xfId="0" applyNumberFormat="1" applyFont="1" applyBorder="1" applyAlignment="1" applyProtection="1">
      <alignment horizontal="center" vertical="center"/>
      <protection locked="0"/>
    </xf>
    <xf numFmtId="0" fontId="16" fillId="0" borderId="109" xfId="2" applyFont="1" applyBorder="1" applyAlignment="1">
      <alignment horizontal="center" vertical="center"/>
    </xf>
    <xf numFmtId="0" fontId="16" fillId="0" borderId="112" xfId="2" applyFont="1" applyBorder="1" applyAlignment="1">
      <alignment horizontal="center" vertical="center"/>
    </xf>
    <xf numFmtId="173" fontId="16" fillId="0" borderId="108" xfId="2" applyNumberFormat="1" applyFont="1" applyBorder="1" applyAlignment="1" applyProtection="1">
      <alignment horizontal="center" vertical="center"/>
      <protection locked="0"/>
    </xf>
    <xf numFmtId="0" fontId="16" fillId="0" borderId="14" xfId="2" applyFont="1" applyBorder="1" applyAlignment="1">
      <alignment horizontal="center" vertical="center"/>
    </xf>
    <xf numFmtId="0" fontId="16" fillId="0" borderId="113" xfId="2" applyFont="1" applyBorder="1" applyAlignment="1">
      <alignment horizontal="center" vertical="center" wrapText="1"/>
    </xf>
    <xf numFmtId="0" fontId="16" fillId="0" borderId="15" xfId="2" applyFont="1" applyBorder="1" applyAlignment="1">
      <alignment horizontal="center" vertical="center"/>
    </xf>
    <xf numFmtId="173" fontId="16" fillId="2" borderId="114" xfId="2" applyNumberFormat="1" applyFont="1" applyFill="1" applyBorder="1" applyAlignment="1">
      <alignment horizontal="center" vertical="center"/>
    </xf>
    <xf numFmtId="0" fontId="30" fillId="0" borderId="109" xfId="2" applyFont="1" applyBorder="1" applyAlignment="1">
      <alignment horizontal="center" vertical="center"/>
    </xf>
    <xf numFmtId="0" fontId="30" fillId="0" borderId="112" xfId="2" applyFont="1" applyBorder="1" applyAlignment="1">
      <alignment horizontal="right" vertical="center"/>
    </xf>
    <xf numFmtId="0" fontId="30" fillId="0" borderId="110" xfId="2" applyFont="1" applyBorder="1" applyAlignment="1">
      <alignment horizontal="center" vertical="center"/>
    </xf>
    <xf numFmtId="173" fontId="30" fillId="0" borderId="108" xfId="2" applyNumberFormat="1" applyFont="1" applyBorder="1" applyAlignment="1" applyProtection="1">
      <alignment horizontal="right" vertical="center"/>
      <protection locked="0"/>
    </xf>
    <xf numFmtId="0" fontId="17" fillId="0" borderId="55" xfId="2" applyFont="1" applyBorder="1" applyAlignment="1">
      <alignment horizontal="center" vertical="center"/>
    </xf>
    <xf numFmtId="0" fontId="17" fillId="0" borderId="23" xfId="2" applyFont="1" applyBorder="1" applyAlignment="1">
      <alignment horizontal="center" vertical="center"/>
    </xf>
    <xf numFmtId="0" fontId="17" fillId="0" borderId="58" xfId="2" applyFont="1" applyBorder="1" applyAlignment="1">
      <alignment horizontal="center" vertical="center"/>
    </xf>
    <xf numFmtId="173" fontId="17" fillId="0" borderId="74" xfId="2" applyNumberFormat="1" applyFont="1" applyBorder="1" applyAlignment="1" applyProtection="1">
      <alignment horizontal="center" vertical="center"/>
      <protection locked="0"/>
    </xf>
    <xf numFmtId="173" fontId="17" fillId="2" borderId="56" xfId="2" applyNumberFormat="1" applyFont="1" applyFill="1" applyBorder="1" applyAlignment="1">
      <alignment horizontal="center" vertical="center"/>
    </xf>
    <xf numFmtId="173" fontId="17" fillId="4" borderId="56" xfId="5" applyNumberFormat="1" applyFont="1" applyFill="1" applyBorder="1" applyAlignment="1">
      <alignment horizontal="center" vertical="center"/>
    </xf>
    <xf numFmtId="0" fontId="30" fillId="0" borderId="58" xfId="2" applyFont="1" applyBorder="1" applyAlignment="1">
      <alignment horizontal="right" vertical="center" wrapText="1"/>
    </xf>
    <xf numFmtId="173" fontId="30" fillId="0" borderId="74" xfId="2" applyNumberFormat="1" applyFont="1" applyBorder="1" applyAlignment="1">
      <alignment horizontal="center" vertical="center"/>
    </xf>
    <xf numFmtId="0" fontId="16" fillId="0" borderId="26" xfId="2" applyFont="1" applyBorder="1" applyAlignment="1">
      <alignment horizontal="center" vertical="center" wrapText="1"/>
    </xf>
    <xf numFmtId="173" fontId="16" fillId="2" borderId="52" xfId="2" applyNumberFormat="1" applyFont="1" applyFill="1" applyBorder="1" applyAlignment="1" applyProtection="1">
      <alignment horizontal="center" vertical="center"/>
      <protection locked="0"/>
    </xf>
    <xf numFmtId="0" fontId="17" fillId="0" borderId="35" xfId="2" applyFont="1" applyBorder="1" applyAlignment="1">
      <alignment horizontal="center" vertical="center"/>
    </xf>
    <xf numFmtId="0" fontId="17" fillId="0" borderId="49" xfId="2" applyFont="1" applyBorder="1" applyAlignment="1">
      <alignment horizontal="center" vertical="center" wrapText="1"/>
    </xf>
    <xf numFmtId="173" fontId="17" fillId="0" borderId="50" xfId="2" applyNumberFormat="1" applyFont="1" applyBorder="1" applyAlignment="1" applyProtection="1">
      <alignment horizontal="center" vertical="center"/>
      <protection locked="0"/>
    </xf>
    <xf numFmtId="0" fontId="17" fillId="0" borderId="109" xfId="2" applyFont="1" applyBorder="1" applyAlignment="1">
      <alignment horizontal="center" vertical="center"/>
    </xf>
    <xf numFmtId="0" fontId="17" fillId="0" borderId="112" xfId="2" applyFont="1" applyBorder="1" applyAlignment="1">
      <alignment horizontal="center" vertical="center" wrapText="1"/>
    </xf>
    <xf numFmtId="0" fontId="17" fillId="0" borderId="24" xfId="2" applyFont="1" applyBorder="1" applyAlignment="1">
      <alignment horizontal="center" vertical="center"/>
    </xf>
    <xf numFmtId="173" fontId="17" fillId="0" borderId="108" xfId="2" applyNumberFormat="1" applyFont="1" applyBorder="1" applyAlignment="1" applyProtection="1">
      <alignment horizontal="center" vertical="center"/>
      <protection locked="0"/>
    </xf>
    <xf numFmtId="0" fontId="16" fillId="0" borderId="64" xfId="2" applyFont="1" applyBorder="1" applyAlignment="1">
      <alignment horizontal="center" vertical="center"/>
    </xf>
    <xf numFmtId="0" fontId="16" fillId="0" borderId="115" xfId="2" applyFont="1" applyBorder="1" applyAlignment="1">
      <alignment horizontal="center" vertical="center"/>
    </xf>
    <xf numFmtId="175" fontId="16" fillId="0" borderId="65" xfId="2" applyNumberFormat="1" applyFont="1" applyBorder="1" applyAlignment="1">
      <alignment horizontal="center" vertical="center"/>
    </xf>
    <xf numFmtId="1" fontId="16" fillId="2" borderId="63" xfId="2" applyNumberFormat="1" applyFont="1" applyFill="1" applyBorder="1" applyAlignment="1">
      <alignment horizontal="center"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2" fontId="16" fillId="2" borderId="13" xfId="2" applyNumberFormat="1" applyFont="1" applyFill="1" applyBorder="1" applyAlignment="1">
      <alignment horizontal="center" vertical="center" wrapText="1"/>
    </xf>
    <xf numFmtId="0" fontId="17" fillId="0" borderId="17" xfId="2" applyFont="1" applyBorder="1" applyAlignment="1">
      <alignment horizontal="center" vertical="center" wrapText="1"/>
    </xf>
    <xf numFmtId="0" fontId="17" fillId="0" borderId="18" xfId="2" applyFont="1" applyBorder="1" applyAlignment="1">
      <alignment horizontal="right" vertical="center" wrapText="1"/>
    </xf>
    <xf numFmtId="0" fontId="17" fillId="0" borderId="18" xfId="2" applyFont="1" applyBorder="1" applyAlignment="1">
      <alignment horizontal="center" vertical="center" wrapText="1"/>
    </xf>
    <xf numFmtId="2" fontId="17" fillId="2" borderId="19" xfId="2" applyNumberFormat="1" applyFont="1" applyFill="1" applyBorder="1" applyAlignment="1">
      <alignment horizontal="center" vertical="center" wrapText="1"/>
    </xf>
    <xf numFmtId="0" fontId="10" fillId="0" borderId="20" xfId="2" applyFont="1" applyBorder="1" applyAlignment="1">
      <alignment horizontal="center" vertical="center" wrapText="1"/>
    </xf>
    <xf numFmtId="0" fontId="10" fillId="0" borderId="21" xfId="2" applyFont="1" applyBorder="1" applyAlignment="1">
      <alignment horizontal="right" vertical="center" wrapText="1"/>
    </xf>
    <xf numFmtId="0" fontId="10" fillId="0" borderId="21" xfId="2" applyFont="1" applyBorder="1" applyAlignment="1">
      <alignment horizontal="center" vertical="center" wrapText="1"/>
    </xf>
    <xf numFmtId="2" fontId="17" fillId="2" borderId="22" xfId="2" applyNumberFormat="1" applyFont="1" applyFill="1" applyBorder="1" applyAlignment="1">
      <alignment horizontal="center" vertical="center" wrapText="1"/>
    </xf>
    <xf numFmtId="0" fontId="49" fillId="0" borderId="21" xfId="2" applyFont="1" applyBorder="1" applyAlignment="1">
      <alignment horizontal="right" vertical="center"/>
    </xf>
    <xf numFmtId="0" fontId="49" fillId="0" borderId="23" xfId="2" applyFont="1" applyBorder="1" applyAlignment="1">
      <alignment horizontal="center" vertical="center" wrapText="1"/>
    </xf>
    <xf numFmtId="0" fontId="49" fillId="0" borderId="24" xfId="2" applyFont="1" applyBorder="1" applyAlignment="1">
      <alignment horizontal="right" vertical="center"/>
    </xf>
    <xf numFmtId="0" fontId="10" fillId="0" borderId="24" xfId="2" applyFont="1" applyBorder="1" applyAlignment="1">
      <alignment horizontal="center" vertical="center" wrapText="1"/>
    </xf>
    <xf numFmtId="2" fontId="17" fillId="2" borderId="116" xfId="2" applyNumberFormat="1" applyFont="1" applyFill="1" applyBorder="1" applyAlignment="1">
      <alignment horizontal="center" vertical="center" wrapText="1"/>
    </xf>
    <xf numFmtId="0" fontId="10" fillId="0" borderId="20" xfId="2" applyFont="1" applyBorder="1" applyAlignment="1">
      <alignment horizontal="center" vertical="center"/>
    </xf>
    <xf numFmtId="0" fontId="10" fillId="0" borderId="55" xfId="2" applyFont="1" applyBorder="1" applyAlignment="1">
      <alignment horizontal="right" vertical="center"/>
    </xf>
    <xf numFmtId="0" fontId="10" fillId="0" borderId="21" xfId="2" applyFont="1" applyBorder="1" applyAlignment="1">
      <alignment horizontal="right" vertical="center"/>
    </xf>
    <xf numFmtId="2" fontId="17" fillId="2" borderId="29" xfId="2" applyNumberFormat="1" applyFont="1" applyFill="1" applyBorder="1" applyAlignment="1">
      <alignment horizontal="center" vertical="center" wrapText="1"/>
    </xf>
    <xf numFmtId="0" fontId="49" fillId="0" borderId="79" xfId="2" applyFont="1" applyBorder="1" applyAlignment="1">
      <alignment horizontal="center" vertical="center"/>
    </xf>
    <xf numFmtId="0" fontId="49" fillId="0" borderId="117" xfId="2" applyFont="1" applyBorder="1" applyAlignment="1">
      <alignment horizontal="right" vertical="center" wrapText="1"/>
    </xf>
    <xf numFmtId="0" fontId="10" fillId="0" borderId="70" xfId="2" applyFont="1" applyBorder="1" applyAlignment="1">
      <alignment horizontal="center" vertical="center" wrapText="1"/>
    </xf>
    <xf numFmtId="2" fontId="17" fillId="2" borderId="81" xfId="2" applyNumberFormat="1" applyFont="1" applyFill="1" applyBorder="1" applyAlignment="1">
      <alignment horizontal="center" vertical="center" wrapText="1"/>
    </xf>
    <xf numFmtId="0" fontId="16" fillId="0" borderId="64" xfId="2" applyFont="1" applyBorder="1" applyAlignment="1">
      <alignment horizontal="center" vertical="center" wrapText="1"/>
    </xf>
    <xf numFmtId="0" fontId="16" fillId="0" borderId="65" xfId="2" applyFont="1" applyBorder="1" applyAlignment="1">
      <alignment horizontal="center" vertical="center" wrapText="1"/>
    </xf>
    <xf numFmtId="2" fontId="16" fillId="2" borderId="71" xfId="2" applyNumberFormat="1" applyFont="1" applyFill="1" applyBorder="1" applyAlignment="1">
      <alignment horizontal="center" vertical="center" wrapText="1"/>
    </xf>
    <xf numFmtId="3" fontId="17" fillId="0" borderId="25" xfId="2" applyNumberFormat="1" applyFont="1" applyBorder="1" applyAlignment="1" applyProtection="1">
      <alignment horizontal="center" vertical="center"/>
      <protection locked="0"/>
    </xf>
    <xf numFmtId="0" fontId="17" fillId="0" borderId="12" xfId="2" applyFont="1" applyBorder="1" applyAlignment="1">
      <alignment horizontal="center" vertical="center"/>
    </xf>
    <xf numFmtId="3" fontId="17" fillId="0" borderId="13" xfId="2" applyNumberFormat="1" applyFont="1" applyBorder="1" applyAlignment="1" applyProtection="1">
      <alignment horizontal="center" vertical="center"/>
      <protection locked="0"/>
    </xf>
    <xf numFmtId="3" fontId="16" fillId="2" borderId="19" xfId="2" applyNumberFormat="1" applyFont="1" applyFill="1" applyBorder="1" applyAlignment="1">
      <alignment horizontal="center" vertical="center"/>
    </xf>
    <xf numFmtId="3" fontId="17" fillId="2" borderId="22" xfId="2" applyNumberFormat="1" applyFont="1" applyFill="1" applyBorder="1" applyAlignment="1">
      <alignment horizontal="center" vertical="center"/>
    </xf>
    <xf numFmtId="0" fontId="30" fillId="0" borderId="21" xfId="2" applyFont="1" applyBorder="1" applyAlignment="1">
      <alignment horizontal="right" vertical="center"/>
    </xf>
    <xf numFmtId="3" fontId="30" fillId="0" borderId="22" xfId="2" applyNumberFormat="1" applyFont="1" applyBorder="1" applyAlignment="1" applyProtection="1">
      <alignment horizontal="center" vertical="center"/>
      <protection locked="0"/>
    </xf>
    <xf numFmtId="3" fontId="17" fillId="0" borderId="22" xfId="2" applyNumberFormat="1" applyFont="1" applyBorder="1" applyAlignment="1" applyProtection="1">
      <alignment horizontal="center" vertical="center"/>
      <protection locked="0"/>
    </xf>
    <xf numFmtId="0" fontId="17" fillId="0" borderId="110" xfId="2" applyFont="1" applyBorder="1" applyAlignment="1">
      <alignment horizontal="center" vertical="center" wrapText="1"/>
    </xf>
    <xf numFmtId="0" fontId="17" fillId="0" borderId="110" xfId="2" applyFont="1" applyBorder="1" applyAlignment="1">
      <alignment horizontal="center" vertical="center"/>
    </xf>
    <xf numFmtId="3" fontId="17" fillId="0" borderId="89" xfId="2" applyNumberFormat="1" applyFont="1" applyBorder="1" applyAlignment="1" applyProtection="1">
      <alignment horizontal="center" vertical="center"/>
      <protection locked="0"/>
    </xf>
    <xf numFmtId="0" fontId="17" fillId="0" borderId="37" xfId="2" applyFont="1" applyBorder="1" applyAlignment="1">
      <alignment horizontal="center" vertical="center"/>
    </xf>
    <xf numFmtId="0" fontId="17" fillId="0" borderId="32" xfId="2" applyFont="1" applyBorder="1" applyAlignment="1">
      <alignment horizontal="center" vertical="center" wrapText="1"/>
    </xf>
    <xf numFmtId="0" fontId="17" fillId="0" borderId="32" xfId="2" applyFont="1" applyBorder="1" applyAlignment="1">
      <alignment horizontal="center" vertical="center"/>
    </xf>
    <xf numFmtId="3" fontId="17" fillId="0" borderId="33" xfId="2" applyNumberFormat="1" applyFont="1" applyBorder="1" applyAlignment="1" applyProtection="1">
      <alignment horizontal="center" vertical="center"/>
      <protection locked="0"/>
    </xf>
    <xf numFmtId="3" fontId="50" fillId="2" borderId="19" xfId="2" applyNumberFormat="1" applyFont="1" applyFill="1" applyBorder="1" applyAlignment="1">
      <alignment horizontal="center" vertical="center"/>
    </xf>
    <xf numFmtId="3" fontId="17" fillId="0" borderId="22" xfId="2" applyNumberFormat="1" applyFont="1" applyBorder="1" applyAlignment="1">
      <alignment horizontal="center" vertical="center"/>
    </xf>
    <xf numFmtId="3" fontId="17" fillId="0" borderId="25" xfId="2" applyNumberFormat="1" applyFont="1" applyBorder="1" applyAlignment="1">
      <alignment horizontal="center" vertical="center"/>
    </xf>
    <xf numFmtId="0" fontId="16" fillId="0" borderId="18" xfId="2" applyFont="1" applyBorder="1" applyAlignment="1">
      <alignment horizontal="center" vertical="center" wrapText="1"/>
    </xf>
    <xf numFmtId="3" fontId="17" fillId="2" borderId="19" xfId="2" applyNumberFormat="1" applyFont="1" applyFill="1" applyBorder="1" applyAlignment="1">
      <alignment horizontal="center" vertical="center"/>
    </xf>
    <xf numFmtId="0" fontId="17" fillId="0" borderId="36" xfId="2" applyFont="1" applyBorder="1" applyAlignment="1">
      <alignment horizontal="center" vertical="center"/>
    </xf>
    <xf numFmtId="3" fontId="17" fillId="0" borderId="29" xfId="2" applyNumberFormat="1" applyFont="1" applyBorder="1" applyAlignment="1">
      <alignment horizontal="center" vertical="center"/>
    </xf>
    <xf numFmtId="3" fontId="17" fillId="0" borderId="33" xfId="2" applyNumberFormat="1" applyFont="1" applyBorder="1" applyAlignment="1">
      <alignment horizontal="center" vertical="center"/>
    </xf>
    <xf numFmtId="0" fontId="15" fillId="0" borderId="0" xfId="0" applyFont="1" applyAlignment="1">
      <alignment wrapText="1"/>
    </xf>
    <xf numFmtId="0" fontId="25" fillId="0" borderId="1" xfId="2" applyFont="1" applyBorder="1" applyAlignment="1">
      <alignment horizontal="center" vertical="center"/>
    </xf>
    <xf numFmtId="173" fontId="16" fillId="0" borderId="118" xfId="2" applyNumberFormat="1" applyFont="1" applyBorder="1" applyAlignment="1">
      <alignment horizontal="center" vertical="center" wrapText="1"/>
    </xf>
    <xf numFmtId="3" fontId="16" fillId="0" borderId="13" xfId="2" applyNumberFormat="1" applyFont="1" applyBorder="1" applyAlignment="1" applyProtection="1">
      <alignment horizontal="center" vertical="center" wrapText="1"/>
      <protection locked="0"/>
    </xf>
    <xf numFmtId="0" fontId="16" fillId="0" borderId="38" xfId="2" applyFont="1" applyBorder="1" applyAlignment="1">
      <alignment horizontal="center" vertical="center"/>
    </xf>
    <xf numFmtId="0" fontId="16" fillId="0" borderId="39" xfId="2" applyFont="1" applyBorder="1" applyAlignment="1">
      <alignment horizontal="center" vertical="center"/>
    </xf>
    <xf numFmtId="173" fontId="16" fillId="0" borderId="19" xfId="2" applyNumberFormat="1" applyFont="1" applyBorder="1" applyAlignment="1" applyProtection="1">
      <alignment horizontal="center" vertical="center"/>
      <protection locked="0"/>
    </xf>
    <xf numFmtId="173" fontId="16" fillId="0" borderId="22" xfId="2" applyNumberFormat="1" applyFont="1" applyBorder="1" applyAlignment="1" applyProtection="1">
      <alignment horizontal="center" vertical="center"/>
      <protection locked="0"/>
    </xf>
    <xf numFmtId="173" fontId="17" fillId="0" borderId="22" xfId="2" applyNumberFormat="1" applyFont="1" applyBorder="1" applyAlignment="1" applyProtection="1">
      <alignment horizontal="center" vertical="center"/>
      <protection locked="0"/>
    </xf>
    <xf numFmtId="173" fontId="17" fillId="0" borderId="33" xfId="2" applyNumberFormat="1" applyFont="1" applyBorder="1" applyAlignment="1" applyProtection="1">
      <alignment horizontal="center" vertical="center"/>
      <protection locked="0"/>
    </xf>
    <xf numFmtId="1" fontId="17" fillId="0" borderId="20" xfId="2" applyNumberFormat="1" applyFont="1" applyBorder="1" applyAlignment="1">
      <alignment horizontal="center" vertical="center"/>
    </xf>
    <xf numFmtId="1" fontId="17" fillId="0" borderId="21" xfId="2" applyNumberFormat="1" applyFont="1" applyBorder="1" applyAlignment="1">
      <alignment horizontal="right" vertical="center"/>
    </xf>
    <xf numFmtId="1" fontId="17" fillId="0" borderId="21" xfId="2" applyNumberFormat="1" applyFont="1" applyBorder="1" applyAlignment="1">
      <alignment horizontal="center" vertical="center"/>
    </xf>
    <xf numFmtId="0" fontId="17" fillId="0" borderId="21" xfId="2" applyFont="1" applyBorder="1" applyAlignment="1">
      <alignment horizontal="right" vertical="center"/>
    </xf>
    <xf numFmtId="0" fontId="16" fillId="0" borderId="37" xfId="2" applyFont="1" applyBorder="1" applyAlignment="1">
      <alignment horizontal="center" vertical="center"/>
    </xf>
    <xf numFmtId="0" fontId="16" fillId="0" borderId="32" xfId="2" applyFont="1" applyBorder="1" applyAlignment="1">
      <alignment horizontal="right" vertical="center"/>
    </xf>
    <xf numFmtId="1" fontId="16" fillId="0" borderId="32" xfId="2" applyNumberFormat="1" applyFont="1" applyBorder="1" applyAlignment="1">
      <alignment horizontal="center" vertical="center"/>
    </xf>
    <xf numFmtId="173" fontId="16" fillId="0" borderId="33" xfId="2" applyNumberFormat="1" applyFont="1" applyBorder="1" applyAlignment="1" applyProtection="1">
      <alignment horizontal="center" vertical="center"/>
      <protection locked="0"/>
    </xf>
    <xf numFmtId="0" fontId="16" fillId="0" borderId="21" xfId="2" applyFont="1" applyBorder="1" applyAlignment="1">
      <alignment horizontal="right" vertical="center"/>
    </xf>
    <xf numFmtId="3" fontId="16" fillId="0" borderId="22" xfId="2" applyNumberFormat="1" applyFont="1" applyBorder="1" applyAlignment="1" applyProtection="1">
      <alignment horizontal="center" vertical="center"/>
      <protection locked="0"/>
    </xf>
    <xf numFmtId="0" fontId="16" fillId="0" borderId="20" xfId="2" applyFont="1" applyBorder="1" applyAlignment="1">
      <alignment horizontal="center" vertical="center" wrapText="1"/>
    </xf>
    <xf numFmtId="0" fontId="17" fillId="0" borderId="20" xfId="2" applyFont="1" applyBorder="1" applyAlignment="1">
      <alignment horizontal="center" vertical="center" wrapText="1"/>
    </xf>
    <xf numFmtId="0" fontId="17" fillId="0" borderId="21" xfId="2" applyFont="1" applyBorder="1" applyAlignment="1">
      <alignment horizontal="right" vertical="center" wrapText="1"/>
    </xf>
    <xf numFmtId="0" fontId="16" fillId="0" borderId="49" xfId="2" applyFont="1" applyBorder="1" applyAlignment="1">
      <alignment horizontal="right" vertical="center"/>
    </xf>
    <xf numFmtId="173" fontId="30" fillId="0" borderId="22" xfId="2" applyNumberFormat="1" applyFont="1" applyBorder="1" applyAlignment="1" applyProtection="1">
      <alignment horizontal="center" vertical="center"/>
      <protection locked="0"/>
    </xf>
    <xf numFmtId="1" fontId="16" fillId="0" borderId="21" xfId="2" applyNumberFormat="1" applyFont="1" applyBorder="1" applyAlignment="1">
      <alignment horizontal="center" vertical="center"/>
    </xf>
    <xf numFmtId="173" fontId="17" fillId="2" borderId="22" xfId="2" applyNumberFormat="1" applyFont="1" applyFill="1" applyBorder="1" applyAlignment="1">
      <alignment horizontal="center" vertical="center"/>
    </xf>
    <xf numFmtId="3" fontId="17" fillId="2" borderId="22" xfId="2" applyNumberFormat="1" applyFont="1" applyFill="1" applyBorder="1" applyAlignment="1" applyProtection="1">
      <alignment horizontal="center" vertical="center"/>
      <protection locked="0"/>
    </xf>
    <xf numFmtId="0" fontId="17" fillId="0" borderId="119" xfId="2" applyFont="1" applyBorder="1" applyAlignment="1">
      <alignment horizontal="right" vertical="center"/>
    </xf>
    <xf numFmtId="3" fontId="17" fillId="0" borderId="29" xfId="2" applyNumberFormat="1" applyFont="1" applyBorder="1" applyAlignment="1" applyProtection="1">
      <alignment horizontal="center" vertical="center"/>
      <protection locked="0"/>
    </xf>
    <xf numFmtId="0" fontId="17" fillId="0" borderId="120" xfId="2" applyFont="1" applyBorder="1" applyAlignment="1">
      <alignment horizontal="right" vertical="center"/>
    </xf>
    <xf numFmtId="0" fontId="17" fillId="0" borderId="120" xfId="2" applyFont="1" applyBorder="1" applyAlignment="1">
      <alignment horizontal="center" vertical="center"/>
    </xf>
    <xf numFmtId="0" fontId="17" fillId="0" borderId="121" xfId="2" applyFont="1" applyBorder="1" applyAlignment="1">
      <alignment horizontal="center" vertical="center"/>
    </xf>
    <xf numFmtId="0" fontId="53" fillId="0" borderId="20" xfId="2" applyFont="1" applyBorder="1" applyAlignment="1">
      <alignment horizontal="center" vertical="center"/>
    </xf>
    <xf numFmtId="3" fontId="17" fillId="0" borderId="56" xfId="2" applyNumberFormat="1" applyFont="1" applyBorder="1" applyAlignment="1">
      <alignment horizontal="center" vertical="center"/>
    </xf>
    <xf numFmtId="173" fontId="17" fillId="0" borderId="29" xfId="2" applyNumberFormat="1" applyFont="1" applyBorder="1" applyAlignment="1" applyProtection="1">
      <alignment horizontal="center" vertical="center"/>
      <protection locked="0"/>
    </xf>
    <xf numFmtId="0" fontId="17" fillId="0" borderId="121" xfId="2" applyFont="1" applyBorder="1" applyAlignment="1">
      <alignment horizontal="right" vertical="center"/>
    </xf>
    <xf numFmtId="173" fontId="17" fillId="0" borderId="25" xfId="2" applyNumberFormat="1" applyFont="1" applyBorder="1" applyAlignment="1" applyProtection="1">
      <alignment horizontal="center" vertical="center"/>
      <protection locked="0"/>
    </xf>
    <xf numFmtId="173" fontId="17" fillId="0" borderId="56" xfId="2" applyNumberFormat="1" applyFont="1" applyBorder="1" applyAlignment="1">
      <alignment horizontal="center" vertical="center"/>
    </xf>
    <xf numFmtId="0" fontId="53" fillId="0" borderId="109" xfId="2" applyFont="1" applyBorder="1" applyAlignment="1">
      <alignment horizontal="center" vertical="center"/>
    </xf>
    <xf numFmtId="3" fontId="17" fillId="0" borderId="108" xfId="2" applyNumberFormat="1" applyFont="1" applyBorder="1" applyAlignment="1">
      <alignment horizontal="center" vertical="center"/>
    </xf>
    <xf numFmtId="173" fontId="17" fillId="2" borderId="25" xfId="2" applyNumberFormat="1" applyFont="1" applyFill="1" applyBorder="1" applyAlignment="1" applyProtection="1">
      <alignment horizontal="center" vertical="center"/>
      <protection locked="0"/>
    </xf>
    <xf numFmtId="0" fontId="17" fillId="0" borderId="31" xfId="2" applyFont="1" applyBorder="1" applyAlignment="1">
      <alignment horizontal="center" vertical="center"/>
    </xf>
    <xf numFmtId="0" fontId="17" fillId="0" borderId="107" xfId="2" applyFont="1" applyBorder="1" applyAlignment="1">
      <alignment horizontal="center" vertical="center"/>
    </xf>
    <xf numFmtId="173" fontId="17" fillId="5" borderId="33" xfId="2" applyNumberFormat="1" applyFont="1" applyFill="1" applyBorder="1" applyAlignment="1" applyProtection="1">
      <alignment horizontal="center" vertical="center"/>
      <protection locked="0"/>
    </xf>
    <xf numFmtId="0" fontId="17" fillId="0" borderId="17" xfId="2" applyFont="1" applyBorder="1" applyAlignment="1">
      <alignment horizontal="center" vertical="center"/>
    </xf>
    <xf numFmtId="0" fontId="17" fillId="0" borderId="54" xfId="2" applyFont="1" applyBorder="1" applyAlignment="1">
      <alignment horizontal="center" vertical="center"/>
    </xf>
    <xf numFmtId="173" fontId="17" fillId="0" borderId="19" xfId="2" applyNumberFormat="1" applyFont="1" applyBorder="1" applyAlignment="1" applyProtection="1">
      <alignment horizontal="center" vertical="center"/>
      <protection locked="0"/>
    </xf>
    <xf numFmtId="0" fontId="30" fillId="0" borderId="121" xfId="2" applyFont="1" applyBorder="1" applyAlignment="1">
      <alignment horizontal="center" vertical="center"/>
    </xf>
    <xf numFmtId="173" fontId="17" fillId="2" borderId="22" xfId="2" applyNumberFormat="1" applyFont="1" applyFill="1" applyBorder="1" applyAlignment="1" applyProtection="1">
      <alignment horizontal="center" vertical="center"/>
      <protection locked="0"/>
    </xf>
    <xf numFmtId="0" fontId="17" fillId="0" borderId="54" xfId="2" applyFont="1" applyBorder="1" applyAlignment="1">
      <alignment vertical="center"/>
    </xf>
    <xf numFmtId="0" fontId="17" fillId="0" borderId="57" xfId="2" applyFont="1" applyBorder="1" applyAlignment="1">
      <alignment vertical="center"/>
    </xf>
    <xf numFmtId="173" fontId="30" fillId="0" borderId="21" xfId="2" applyNumberFormat="1" applyFont="1" applyBorder="1" applyAlignment="1">
      <alignment horizontal="center" vertical="center"/>
    </xf>
    <xf numFmtId="176" fontId="17" fillId="0" borderId="22" xfId="2" applyNumberFormat="1" applyFont="1" applyBorder="1" applyAlignment="1" applyProtection="1">
      <alignment horizontal="center" vertical="center"/>
      <protection locked="0"/>
    </xf>
    <xf numFmtId="0" fontId="17" fillId="0" borderId="122" xfId="2" applyFont="1" applyBorder="1" applyAlignment="1">
      <alignment horizontal="left" vertical="center"/>
    </xf>
    <xf numFmtId="0" fontId="53" fillId="0" borderId="17" xfId="2" applyFont="1" applyBorder="1" applyAlignment="1">
      <alignment horizontal="center" vertical="center"/>
    </xf>
    <xf numFmtId="4" fontId="16" fillId="0" borderId="52" xfId="2" applyNumberFormat="1" applyFont="1" applyBorder="1" applyAlignment="1">
      <alignment horizontal="center" vertical="center"/>
    </xf>
    <xf numFmtId="0" fontId="17" fillId="0" borderId="51" xfId="2" applyFont="1" applyBorder="1" applyAlignment="1">
      <alignment vertical="center"/>
    </xf>
    <xf numFmtId="0" fontId="17" fillId="0" borderId="0" xfId="2" applyFont="1" applyAlignment="1">
      <alignment vertical="center"/>
    </xf>
    <xf numFmtId="0" fontId="17" fillId="0" borderId="121" xfId="2" applyFont="1" applyBorder="1" applyAlignment="1">
      <alignment horizontal="left" vertical="center"/>
    </xf>
    <xf numFmtId="173" fontId="17" fillId="0" borderId="52" xfId="2" applyNumberFormat="1" applyFont="1" applyBorder="1" applyAlignment="1">
      <alignment horizontal="center" vertical="center"/>
    </xf>
    <xf numFmtId="3" fontId="30" fillId="0" borderId="52" xfId="2" applyNumberFormat="1" applyFont="1" applyBorder="1" applyAlignment="1">
      <alignment horizontal="center" vertical="center"/>
    </xf>
    <xf numFmtId="0" fontId="17" fillId="0" borderId="120" xfId="2" applyFont="1" applyBorder="1" applyAlignment="1">
      <alignment horizontal="left" vertical="center"/>
    </xf>
    <xf numFmtId="173" fontId="17" fillId="0" borderId="19" xfId="2" applyNumberFormat="1" applyFont="1" applyBorder="1" applyAlignment="1">
      <alignment horizontal="center" vertical="center"/>
    </xf>
    <xf numFmtId="0" fontId="17" fillId="0" borderId="51" xfId="2" applyFont="1" applyBorder="1" applyAlignment="1">
      <alignment horizontal="left" vertical="center"/>
    </xf>
    <xf numFmtId="0" fontId="17" fillId="0" borderId="57" xfId="2" applyFont="1" applyBorder="1" applyAlignment="1">
      <alignment horizontal="left" vertical="center"/>
    </xf>
    <xf numFmtId="0" fontId="17" fillId="0" borderId="75" xfId="2" applyFont="1" applyBorder="1" applyAlignment="1">
      <alignment horizontal="left" vertical="center"/>
    </xf>
    <xf numFmtId="0" fontId="17" fillId="0" borderId="124" xfId="2" applyFont="1" applyBorder="1" applyAlignment="1">
      <alignment horizontal="left" vertical="center"/>
    </xf>
    <xf numFmtId="0" fontId="17" fillId="0" borderId="26" xfId="2" applyFont="1" applyBorder="1" applyAlignment="1">
      <alignment horizontal="left" vertical="center"/>
    </xf>
    <xf numFmtId="173" fontId="17" fillId="0" borderId="18" xfId="2" applyNumberFormat="1" applyFont="1" applyBorder="1" applyAlignment="1">
      <alignment horizontal="center" vertical="center"/>
    </xf>
    <xf numFmtId="173" fontId="17" fillId="0" borderId="21" xfId="2" applyNumberFormat="1" applyFont="1" applyBorder="1" applyAlignment="1">
      <alignment horizontal="center" vertical="center"/>
    </xf>
    <xf numFmtId="0" fontId="30" fillId="0" borderId="37" xfId="2" applyFont="1" applyBorder="1" applyAlignment="1">
      <alignment horizontal="center" vertical="center"/>
    </xf>
    <xf numFmtId="0" fontId="30" fillId="0" borderId="32" xfId="2" applyFont="1" applyBorder="1" applyAlignment="1">
      <alignment horizontal="right" vertical="center"/>
    </xf>
    <xf numFmtId="173" fontId="30" fillId="0" borderId="32" xfId="2" applyNumberFormat="1" applyFont="1" applyBorder="1" applyAlignment="1">
      <alignment horizontal="center" vertical="center"/>
    </xf>
    <xf numFmtId="3" fontId="30" fillId="0" borderId="33" xfId="2" applyNumberFormat="1" applyFont="1" applyBorder="1" applyAlignment="1" applyProtection="1">
      <alignment horizontal="center" vertical="center"/>
      <protection locked="0"/>
    </xf>
    <xf numFmtId="0" fontId="17" fillId="0" borderId="0" xfId="2" applyFont="1" applyAlignment="1" applyProtection="1">
      <alignment horizontal="center" vertical="center"/>
      <protection locked="0"/>
    </xf>
    <xf numFmtId="3" fontId="17" fillId="0" borderId="0" xfId="2" applyNumberFormat="1" applyFont="1" applyAlignment="1" applyProtection="1">
      <alignment horizontal="center" vertical="center"/>
      <protection locked="0"/>
    </xf>
    <xf numFmtId="1" fontId="16" fillId="0" borderId="0" xfId="2" applyNumberFormat="1" applyFont="1" applyAlignment="1">
      <alignment horizontal="center" vertical="center"/>
    </xf>
    <xf numFmtId="0" fontId="14" fillId="0" borderId="0" xfId="2" applyFont="1" applyAlignment="1">
      <alignment horizontal="right"/>
    </xf>
    <xf numFmtId="0" fontId="20" fillId="0" borderId="0" xfId="2" applyFont="1"/>
    <xf numFmtId="0" fontId="54" fillId="0" borderId="1" xfId="2" applyFont="1" applyBorder="1" applyAlignment="1" applyProtection="1">
      <alignment horizontal="center" vertical="center"/>
      <protection locked="0"/>
    </xf>
    <xf numFmtId="0" fontId="16" fillId="0" borderId="1" xfId="2" applyFont="1" applyBorder="1" applyAlignment="1" applyProtection="1">
      <alignment horizontal="center" vertical="center"/>
      <protection locked="0"/>
    </xf>
    <xf numFmtId="173" fontId="16" fillId="0" borderId="1" xfId="2" applyNumberFormat="1" applyFont="1" applyBorder="1" applyAlignment="1" applyProtection="1">
      <alignment horizontal="center" vertical="center" wrapText="1"/>
      <protection locked="0"/>
    </xf>
    <xf numFmtId="3" fontId="16" fillId="0" borderId="1" xfId="2" applyNumberFormat="1" applyFont="1" applyBorder="1" applyAlignment="1" applyProtection="1">
      <alignment horizontal="center" vertical="center"/>
      <protection locked="0"/>
    </xf>
    <xf numFmtId="3" fontId="16" fillId="0" borderId="38" xfId="2" applyNumberFormat="1" applyFont="1" applyBorder="1" applyAlignment="1" applyProtection="1">
      <alignment horizontal="center" vertical="center" wrapText="1"/>
      <protection locked="0"/>
    </xf>
    <xf numFmtId="4" fontId="16" fillId="2" borderId="1" xfId="2" applyNumberFormat="1" applyFont="1" applyFill="1" applyBorder="1" applyAlignment="1" applyProtection="1">
      <alignment horizontal="center" vertical="center"/>
      <protection locked="0"/>
    </xf>
    <xf numFmtId="0" fontId="16" fillId="0" borderId="10" xfId="2" applyFont="1" applyBorder="1" applyAlignment="1" applyProtection="1">
      <alignment horizontal="center" vertical="center"/>
      <protection locked="0"/>
    </xf>
    <xf numFmtId="4" fontId="16" fillId="2" borderId="10" xfId="2" applyNumberFormat="1" applyFont="1" applyFill="1" applyBorder="1" applyAlignment="1" applyProtection="1">
      <alignment horizontal="center" vertical="center"/>
      <protection locked="0"/>
    </xf>
    <xf numFmtId="3" fontId="16" fillId="0" borderId="10" xfId="2" applyNumberFormat="1" applyFont="1" applyBorder="1" applyAlignment="1" applyProtection="1">
      <alignment horizontal="center" vertical="center"/>
      <protection locked="0"/>
    </xf>
    <xf numFmtId="0" fontId="16" fillId="0" borderId="125" xfId="2" applyFont="1" applyBorder="1" applyAlignment="1" applyProtection="1">
      <alignment horizontal="center" vertical="center"/>
      <protection locked="0"/>
    </xf>
    <xf numFmtId="4" fontId="16" fillId="2" borderId="125" xfId="2" applyNumberFormat="1" applyFont="1" applyFill="1" applyBorder="1" applyAlignment="1" applyProtection="1">
      <alignment horizontal="center" vertical="center"/>
      <protection locked="0"/>
    </xf>
    <xf numFmtId="3" fontId="16" fillId="0" borderId="125" xfId="2" applyNumberFormat="1" applyFont="1" applyBorder="1" applyAlignment="1" applyProtection="1">
      <alignment horizontal="center" vertical="center"/>
      <protection locked="0"/>
    </xf>
    <xf numFmtId="0" fontId="53" fillId="0" borderId="4" xfId="2" applyFont="1" applyBorder="1" applyAlignment="1" applyProtection="1">
      <alignment horizontal="center" vertical="center"/>
      <protection locked="0"/>
    </xf>
    <xf numFmtId="0" fontId="16" fillId="0" borderId="4" xfId="2" applyFont="1" applyBorder="1" applyAlignment="1" applyProtection="1">
      <alignment horizontal="center" vertical="center"/>
      <protection locked="0"/>
    </xf>
    <xf numFmtId="4" fontId="16" fillId="2" borderId="4" xfId="2" applyNumberFormat="1" applyFont="1" applyFill="1" applyBorder="1" applyAlignment="1" applyProtection="1">
      <alignment horizontal="center" vertical="center"/>
      <protection locked="0"/>
    </xf>
    <xf numFmtId="3" fontId="16" fillId="0" borderId="4" xfId="2" applyNumberFormat="1"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7" fillId="0" borderId="2" xfId="2" applyFont="1" applyBorder="1" applyAlignment="1" applyProtection="1">
      <alignment horizontal="right" vertical="center"/>
      <protection locked="0"/>
    </xf>
    <xf numFmtId="4" fontId="17" fillId="0" borderId="2" xfId="2" applyNumberFormat="1" applyFont="1" applyBorder="1" applyAlignment="1" applyProtection="1">
      <alignment horizontal="center" vertical="center"/>
      <protection locked="0"/>
    </xf>
    <xf numFmtId="3" fontId="16" fillId="0" borderId="2" xfId="2" applyNumberFormat="1"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3" xfId="2" applyFont="1" applyBorder="1" applyAlignment="1" applyProtection="1">
      <alignment horizontal="right" vertical="center"/>
      <protection locked="0"/>
    </xf>
    <xf numFmtId="4" fontId="17" fillId="0" borderId="3" xfId="2" applyNumberFormat="1" applyFont="1" applyBorder="1" applyAlignment="1" applyProtection="1">
      <alignment horizontal="center" vertical="center"/>
      <protection locked="0"/>
    </xf>
    <xf numFmtId="3" fontId="16" fillId="0" borderId="3" xfId="2" applyNumberFormat="1" applyFont="1" applyBorder="1" applyAlignment="1" applyProtection="1">
      <alignment horizontal="center" vertical="center"/>
      <protection locked="0"/>
    </xf>
    <xf numFmtId="0" fontId="53" fillId="0" borderId="4" xfId="2" applyFont="1" applyBorder="1" applyAlignment="1" applyProtection="1">
      <alignment horizontal="center" vertical="center" wrapText="1"/>
      <protection locked="0"/>
    </xf>
    <xf numFmtId="0" fontId="16" fillId="0" borderId="4" xfId="2" applyFont="1" applyBorder="1" applyAlignment="1" applyProtection="1">
      <alignment horizontal="center" vertical="center" wrapText="1"/>
      <protection locked="0"/>
    </xf>
    <xf numFmtId="4" fontId="16" fillId="2" borderId="4" xfId="2" applyNumberFormat="1" applyFont="1" applyFill="1" applyBorder="1" applyAlignment="1" applyProtection="1">
      <alignment horizontal="center" vertical="center" wrapText="1"/>
      <protection locked="0"/>
    </xf>
    <xf numFmtId="3" fontId="16" fillId="0" borderId="4" xfId="2" applyNumberFormat="1" applyFont="1" applyBorder="1" applyAlignment="1" applyProtection="1">
      <alignment horizontal="center" vertical="center" wrapText="1"/>
      <protection locked="0"/>
    </xf>
    <xf numFmtId="0" fontId="53" fillId="0" borderId="1" xfId="2" applyFont="1" applyBorder="1" applyAlignment="1" applyProtection="1">
      <alignment horizontal="center" vertical="center"/>
      <protection locked="0"/>
    </xf>
    <xf numFmtId="0" fontId="17" fillId="0" borderId="1" xfId="2" applyFont="1" applyBorder="1" applyAlignment="1" applyProtection="1">
      <alignment horizontal="center" vertical="center"/>
      <protection locked="0"/>
    </xf>
    <xf numFmtId="4" fontId="16" fillId="0" borderId="1" xfId="2" applyNumberFormat="1" applyFont="1" applyBorder="1" applyAlignment="1" applyProtection="1">
      <alignment horizontal="center" vertical="center"/>
      <protection locked="0"/>
    </xf>
    <xf numFmtId="0" fontId="53" fillId="0" borderId="1" xfId="2" applyFont="1" applyBorder="1" applyAlignment="1" applyProtection="1">
      <alignment horizontal="center" vertical="center" wrapText="1"/>
      <protection locked="0"/>
    </xf>
    <xf numFmtId="0" fontId="16" fillId="0" borderId="1" xfId="2" applyFont="1" applyBorder="1" applyAlignment="1" applyProtection="1">
      <alignment horizontal="center" vertical="center" wrapText="1"/>
      <protection locked="0"/>
    </xf>
    <xf numFmtId="4" fontId="16" fillId="0" borderId="125" xfId="2" applyNumberFormat="1" applyFont="1" applyBorder="1" applyAlignment="1" applyProtection="1">
      <alignment horizontal="center" vertical="center"/>
      <protection locked="0"/>
    </xf>
    <xf numFmtId="0" fontId="16" fillId="0" borderId="41" xfId="2" applyFont="1" applyBorder="1" applyAlignment="1" applyProtection="1">
      <alignment horizontal="center" vertical="center"/>
      <protection locked="0"/>
    </xf>
    <xf numFmtId="3" fontId="16" fillId="0" borderId="41" xfId="2" applyNumberFormat="1" applyFont="1" applyBorder="1" applyAlignment="1" applyProtection="1">
      <alignment horizontal="center" vertical="center"/>
      <protection locked="0"/>
    </xf>
    <xf numFmtId="3" fontId="16" fillId="0" borderId="39" xfId="2" applyNumberFormat="1" applyFont="1" applyBorder="1" applyAlignment="1" applyProtection="1">
      <alignment horizontal="center" vertical="center"/>
      <protection locked="0"/>
    </xf>
    <xf numFmtId="0" fontId="16" fillId="0" borderId="5" xfId="2" applyFont="1" applyBorder="1" applyAlignment="1" applyProtection="1">
      <alignment horizontal="center" vertical="center"/>
      <protection locked="0"/>
    </xf>
    <xf numFmtId="3" fontId="16" fillId="0" borderId="5" xfId="2" applyNumberFormat="1" applyFont="1" applyBorder="1" applyAlignment="1" applyProtection="1">
      <alignment horizontal="center" vertical="center"/>
      <protection locked="0"/>
    </xf>
    <xf numFmtId="0" fontId="53" fillId="0" borderId="6" xfId="2" applyFont="1" applyBorder="1" applyAlignment="1" applyProtection="1">
      <alignment horizontal="center" vertical="center" wrapText="1"/>
      <protection locked="0"/>
    </xf>
    <xf numFmtId="0" fontId="53" fillId="0" borderId="6" xfId="2" applyFont="1" applyBorder="1" applyAlignment="1" applyProtection="1">
      <alignment horizontal="right" vertical="center" wrapText="1"/>
      <protection locked="0"/>
    </xf>
    <xf numFmtId="3" fontId="53" fillId="0" borderId="6" xfId="2" applyNumberFormat="1" applyFont="1" applyBorder="1" applyAlignment="1" applyProtection="1">
      <alignment horizontal="center" vertical="center" wrapText="1"/>
      <protection locked="0"/>
    </xf>
    <xf numFmtId="3" fontId="53" fillId="0" borderId="4" xfId="2" applyNumberFormat="1" applyFont="1" applyBorder="1" applyAlignment="1" applyProtection="1">
      <alignment horizontal="center" vertical="center" wrapText="1"/>
      <protection locked="0"/>
    </xf>
    <xf numFmtId="0" fontId="53" fillId="0" borderId="6" xfId="2" applyFont="1" applyBorder="1" applyAlignment="1" applyProtection="1">
      <alignment horizontal="center" vertical="center"/>
      <protection locked="0"/>
    </xf>
    <xf numFmtId="0" fontId="16" fillId="0" borderId="4" xfId="2" applyFont="1" applyBorder="1" applyAlignment="1" applyProtection="1">
      <alignment horizontal="right" vertical="center" wrapText="1"/>
      <protection locked="0"/>
    </xf>
    <xf numFmtId="0" fontId="16" fillId="0" borderId="125" xfId="2" applyFont="1" applyBorder="1" applyAlignment="1" applyProtection="1">
      <alignment horizontal="center" vertical="center" wrapText="1"/>
      <protection locked="0"/>
    </xf>
    <xf numFmtId="3" fontId="53" fillId="0" borderId="125" xfId="2" applyNumberFormat="1" applyFont="1" applyBorder="1" applyAlignment="1" applyProtection="1">
      <alignment horizontal="center" vertical="center" wrapText="1"/>
      <protection locked="0"/>
    </xf>
    <xf numFmtId="0" fontId="16" fillId="0" borderId="106" xfId="2" applyFont="1" applyBorder="1" applyAlignment="1" applyProtection="1">
      <alignment horizontal="center" vertical="center"/>
      <protection locked="0"/>
    </xf>
    <xf numFmtId="0" fontId="16" fillId="0" borderId="106" xfId="2" applyFont="1" applyBorder="1" applyAlignment="1" applyProtection="1">
      <alignment horizontal="right" vertical="center" wrapText="1"/>
      <protection locked="0"/>
    </xf>
    <xf numFmtId="0" fontId="16" fillId="0" borderId="106" xfId="2" applyFont="1" applyBorder="1" applyAlignment="1" applyProtection="1">
      <alignment horizontal="center" vertical="center" wrapText="1"/>
      <protection locked="0"/>
    </xf>
    <xf numFmtId="3" fontId="53" fillId="0" borderId="106" xfId="2" applyNumberFormat="1" applyFont="1" applyBorder="1" applyAlignment="1" applyProtection="1">
      <alignment horizontal="center" vertical="center" wrapText="1"/>
      <protection locked="0"/>
    </xf>
    <xf numFmtId="0" fontId="16" fillId="0" borderId="1" xfId="2" applyFont="1" applyBorder="1" applyAlignment="1" applyProtection="1">
      <alignment horizontal="right" vertical="center" wrapText="1"/>
      <protection locked="0"/>
    </xf>
    <xf numFmtId="0" fontId="13" fillId="0" borderId="0" xfId="2" applyAlignment="1">
      <alignment wrapText="1"/>
    </xf>
    <xf numFmtId="0" fontId="16" fillId="0" borderId="126" xfId="2" applyFont="1" applyBorder="1" applyAlignment="1">
      <alignment horizontal="center" vertical="center"/>
    </xf>
    <xf numFmtId="173" fontId="16" fillId="0" borderId="1" xfId="2" applyNumberFormat="1" applyFont="1" applyBorder="1" applyAlignment="1">
      <alignment horizontal="center" vertical="center" wrapText="1"/>
    </xf>
    <xf numFmtId="3" fontId="16" fillId="0" borderId="114" xfId="2" applyNumberFormat="1" applyFont="1" applyBorder="1" applyAlignment="1" applyProtection="1">
      <alignment horizontal="center" vertical="center" wrapText="1"/>
      <protection locked="0"/>
    </xf>
    <xf numFmtId="0" fontId="16" fillId="0" borderId="4" xfId="2" applyFont="1" applyBorder="1" applyAlignment="1">
      <alignment horizontal="center" vertical="center"/>
    </xf>
    <xf numFmtId="0" fontId="16" fillId="0" borderId="126" xfId="2" applyFont="1" applyBorder="1" applyAlignment="1">
      <alignment horizontal="center" vertical="center" wrapText="1"/>
    </xf>
    <xf numFmtId="0" fontId="16" fillId="0" borderId="53" xfId="2" applyFont="1" applyBorder="1" applyAlignment="1">
      <alignment horizontal="center" vertical="center"/>
    </xf>
    <xf numFmtId="4" fontId="16" fillId="2" borderId="4" xfId="2" applyNumberFormat="1" applyFont="1" applyFill="1" applyBorder="1" applyAlignment="1">
      <alignment horizontal="center" vertical="center"/>
    </xf>
    <xf numFmtId="0" fontId="53" fillId="0" borderId="2" xfId="2" applyFont="1" applyBorder="1" applyAlignment="1">
      <alignment horizontal="center" vertical="center"/>
    </xf>
    <xf numFmtId="0" fontId="53" fillId="0" borderId="56" xfId="2" applyFont="1" applyBorder="1" applyAlignment="1">
      <alignment horizontal="right" vertical="center"/>
    </xf>
    <xf numFmtId="0" fontId="53" fillId="0" borderId="30" xfId="2" applyFont="1" applyBorder="1" applyAlignment="1">
      <alignment horizontal="center" vertical="center"/>
    </xf>
    <xf numFmtId="168" fontId="16" fillId="2" borderId="5" xfId="2" applyNumberFormat="1" applyFont="1" applyFill="1" applyBorder="1" applyAlignment="1">
      <alignment horizontal="center" vertical="center"/>
    </xf>
    <xf numFmtId="4" fontId="16" fillId="0" borderId="56" xfId="2" applyNumberFormat="1" applyFont="1" applyBorder="1" applyAlignment="1">
      <alignment horizontal="center" vertical="center"/>
    </xf>
    <xf numFmtId="0" fontId="30" fillId="0" borderId="2" xfId="2" applyFont="1" applyBorder="1" applyAlignment="1">
      <alignment horizontal="center" vertical="center"/>
    </xf>
    <xf numFmtId="0" fontId="30" fillId="0" borderId="56" xfId="2" applyFont="1" applyBorder="1" applyAlignment="1">
      <alignment horizontal="right" vertical="center"/>
    </xf>
    <xf numFmtId="0" fontId="30" fillId="0" borderId="30" xfId="2" applyFont="1" applyBorder="1" applyAlignment="1">
      <alignment horizontal="center" vertical="center"/>
    </xf>
    <xf numFmtId="168" fontId="17" fillId="0" borderId="2" xfId="2" applyNumberFormat="1" applyFont="1" applyBorder="1" applyAlignment="1">
      <alignment horizontal="center" vertical="center"/>
    </xf>
    <xf numFmtId="0" fontId="30" fillId="0" borderId="83" xfId="2" applyFont="1" applyBorder="1" applyAlignment="1">
      <alignment horizontal="right" vertical="center"/>
    </xf>
    <xf numFmtId="168" fontId="17" fillId="0" borderId="6" xfId="2" applyNumberFormat="1" applyFont="1" applyBorder="1" applyAlignment="1">
      <alignment horizontal="center" vertical="center"/>
    </xf>
    <xf numFmtId="4" fontId="16" fillId="0" borderId="83" xfId="2" applyNumberFormat="1" applyFont="1" applyBorder="1" applyAlignment="1">
      <alignment horizontal="center" vertical="center"/>
    </xf>
    <xf numFmtId="0" fontId="53" fillId="0" borderId="56" xfId="2" applyFont="1" applyBorder="1" applyAlignment="1">
      <alignment horizontal="right" vertical="center" wrapText="1"/>
    </xf>
    <xf numFmtId="0" fontId="53" fillId="0" borderId="4" xfId="2" applyFont="1" applyBorder="1" applyAlignment="1">
      <alignment horizontal="center" vertical="center"/>
    </xf>
    <xf numFmtId="4" fontId="16" fillId="2" borderId="52" xfId="2" applyNumberFormat="1" applyFont="1" applyFill="1" applyBorder="1" applyAlignment="1">
      <alignment horizontal="center" vertical="center"/>
    </xf>
    <xf numFmtId="4" fontId="17" fillId="0" borderId="5" xfId="2" applyNumberFormat="1" applyFont="1" applyBorder="1" applyAlignment="1">
      <alignment horizontal="center" vertical="center"/>
    </xf>
    <xf numFmtId="4" fontId="17" fillId="0" borderId="56" xfId="2" applyNumberFormat="1" applyFont="1" applyBorder="1" applyAlignment="1">
      <alignment horizontal="center" vertical="center"/>
    </xf>
    <xf numFmtId="0" fontId="30" fillId="0" borderId="6" xfId="2" applyFont="1" applyBorder="1" applyAlignment="1">
      <alignment horizontal="center" vertical="center"/>
    </xf>
    <xf numFmtId="4" fontId="17" fillId="0" borderId="83" xfId="2" applyNumberFormat="1" applyFont="1" applyBorder="1" applyAlignment="1">
      <alignment horizontal="center" vertical="center"/>
    </xf>
    <xf numFmtId="0" fontId="16" fillId="0" borderId="125" xfId="2" applyFont="1" applyBorder="1" applyAlignment="1">
      <alignment horizontal="center" vertical="center"/>
    </xf>
    <xf numFmtId="168" fontId="16" fillId="2" borderId="114" xfId="2" applyNumberFormat="1" applyFont="1" applyFill="1" applyBorder="1" applyAlignment="1">
      <alignment horizontal="center" vertical="center"/>
    </xf>
    <xf numFmtId="4" fontId="16" fillId="0" borderId="1" xfId="2" applyNumberFormat="1" applyFont="1" applyBorder="1" applyAlignment="1">
      <alignment horizontal="center" vertical="center"/>
    </xf>
    <xf numFmtId="0" fontId="16" fillId="0" borderId="54" xfId="2" applyFont="1" applyBorder="1" applyAlignment="1" applyProtection="1">
      <alignment horizontal="center" vertical="center"/>
      <protection locked="0"/>
    </xf>
    <xf numFmtId="168" fontId="16" fillId="2" borderId="52" xfId="2" applyNumberFormat="1" applyFont="1" applyFill="1" applyBorder="1" applyAlignment="1">
      <alignment horizontal="center" vertical="center"/>
    </xf>
    <xf numFmtId="0" fontId="53" fillId="0" borderId="57" xfId="2" applyFont="1" applyBorder="1" applyAlignment="1" applyProtection="1">
      <alignment horizontal="right" vertical="center"/>
      <protection locked="0"/>
    </xf>
    <xf numFmtId="4" fontId="53" fillId="2" borderId="56" xfId="2" applyNumberFormat="1" applyFont="1" applyFill="1" applyBorder="1" applyAlignment="1" applyProtection="1">
      <alignment horizontal="center" vertical="center"/>
      <protection locked="0"/>
    </xf>
    <xf numFmtId="0" fontId="53" fillId="0" borderId="3" xfId="2" applyFont="1" applyBorder="1" applyAlignment="1">
      <alignment horizontal="center" vertical="center"/>
    </xf>
    <xf numFmtId="0" fontId="53" fillId="0" borderId="75" xfId="2" applyFont="1" applyBorder="1" applyAlignment="1" applyProtection="1">
      <alignment horizontal="right" vertical="center"/>
      <protection locked="0"/>
    </xf>
    <xf numFmtId="4" fontId="17" fillId="0" borderId="10" xfId="2" applyNumberFormat="1" applyFont="1" applyBorder="1" applyAlignment="1">
      <alignment horizontal="center" vertical="center"/>
    </xf>
    <xf numFmtId="0" fontId="16" fillId="0" borderId="54" xfId="2" applyFont="1" applyBorder="1" applyAlignment="1" applyProtection="1">
      <alignment horizontal="center" vertical="center" wrapText="1"/>
      <protection locked="0"/>
    </xf>
    <xf numFmtId="168" fontId="16" fillId="2" borderId="52" xfId="2" applyNumberFormat="1" applyFont="1" applyFill="1" applyBorder="1" applyAlignment="1" applyProtection="1">
      <alignment horizontal="center" vertical="center"/>
      <protection locked="0"/>
    </xf>
    <xf numFmtId="4" fontId="17" fillId="0" borderId="4" xfId="2" applyNumberFormat="1" applyFont="1" applyBorder="1" applyAlignment="1">
      <alignment horizontal="center" vertical="center"/>
    </xf>
    <xf numFmtId="168" fontId="53" fillId="2" borderId="56" xfId="2" applyNumberFormat="1" applyFont="1" applyFill="1" applyBorder="1" applyAlignment="1" applyProtection="1">
      <alignment horizontal="center" vertical="center"/>
      <protection locked="0"/>
    </xf>
    <xf numFmtId="4" fontId="17" fillId="0" borderId="56" xfId="2" applyNumberFormat="1" applyFont="1" applyBorder="1" applyAlignment="1" applyProtection="1">
      <alignment horizontal="center" vertical="center"/>
      <protection locked="0"/>
    </xf>
    <xf numFmtId="0" fontId="53" fillId="0" borderId="75" xfId="2" applyFont="1" applyBorder="1" applyAlignment="1">
      <alignment horizontal="right" vertical="center"/>
    </xf>
    <xf numFmtId="4" fontId="16" fillId="2" borderId="39" xfId="2" applyNumberFormat="1" applyFont="1" applyFill="1" applyBorder="1" applyAlignment="1">
      <alignment horizontal="center" vertical="center"/>
    </xf>
    <xf numFmtId="4" fontId="17" fillId="0" borderId="1" xfId="2" applyNumberFormat="1" applyFont="1" applyBorder="1" applyAlignment="1">
      <alignment horizontal="center" vertical="center"/>
    </xf>
    <xf numFmtId="4" fontId="16" fillId="0" borderId="114" xfId="2" applyNumberFormat="1" applyFont="1" applyBorder="1" applyAlignment="1" applyProtection="1">
      <alignment horizontal="center" vertical="center"/>
      <protection locked="0"/>
    </xf>
    <xf numFmtId="0" fontId="16" fillId="0" borderId="41" xfId="2" applyFont="1" applyBorder="1" applyAlignment="1">
      <alignment horizontal="center" vertical="center" wrapText="1"/>
    </xf>
    <xf numFmtId="4" fontId="16" fillId="0" borderId="39" xfId="2" applyNumberFormat="1" applyFont="1" applyBorder="1" applyAlignment="1" applyProtection="1">
      <alignment horizontal="center" vertical="center"/>
      <protection locked="0"/>
    </xf>
    <xf numFmtId="0" fontId="16" fillId="0" borderId="106" xfId="2" applyFont="1" applyBorder="1" applyAlignment="1">
      <alignment horizontal="center" vertical="center"/>
    </xf>
    <xf numFmtId="0" fontId="16" fillId="0" borderId="127" xfId="2" applyFont="1" applyBorder="1" applyAlignment="1">
      <alignment horizontal="center" vertical="center"/>
    </xf>
    <xf numFmtId="168" fontId="16" fillId="0" borderId="128" xfId="2" applyNumberFormat="1" applyFont="1" applyBorder="1" applyAlignment="1" applyProtection="1">
      <alignment horizontal="center" vertical="center"/>
      <protection locked="0"/>
    </xf>
    <xf numFmtId="4" fontId="55" fillId="0" borderId="1" xfId="2" applyNumberFormat="1" applyFont="1" applyBorder="1" applyAlignment="1" applyProtection="1">
      <alignment horizontal="center" vertical="center"/>
      <protection locked="0"/>
    </xf>
    <xf numFmtId="4" fontId="55" fillId="0" borderId="128" xfId="2" applyNumberFormat="1" applyFont="1" applyBorder="1" applyAlignment="1" applyProtection="1">
      <alignment horizontal="center" vertical="center"/>
      <protection locked="0"/>
    </xf>
    <xf numFmtId="168" fontId="16" fillId="2" borderId="128" xfId="2" applyNumberFormat="1" applyFont="1" applyFill="1" applyBorder="1" applyAlignment="1" applyProtection="1">
      <alignment horizontal="center" vertical="center"/>
      <protection locked="0"/>
    </xf>
    <xf numFmtId="4" fontId="16" fillId="0" borderId="41" xfId="2" applyNumberFormat="1" applyFont="1" applyBorder="1" applyAlignment="1" applyProtection="1">
      <alignment horizontal="center" vertical="center"/>
      <protection locked="0"/>
    </xf>
    <xf numFmtId="4" fontId="55" fillId="0" borderId="39" xfId="2" applyNumberFormat="1" applyFont="1" applyBorder="1" applyAlignment="1" applyProtection="1">
      <alignment horizontal="center" vertical="center"/>
      <protection locked="0"/>
    </xf>
    <xf numFmtId="0" fontId="56" fillId="0" borderId="0" xfId="2" applyFont="1"/>
    <xf numFmtId="0" fontId="22" fillId="0" borderId="4" xfId="2" applyFont="1" applyBorder="1" applyAlignment="1">
      <alignment horizontal="center" vertical="center"/>
    </xf>
    <xf numFmtId="0" fontId="22" fillId="0" borderId="54" xfId="2" applyFont="1" applyBorder="1" applyAlignment="1" applyProtection="1">
      <alignment horizontal="center" vertical="center"/>
      <protection locked="0"/>
    </xf>
    <xf numFmtId="171" fontId="22" fillId="2" borderId="52" xfId="2" applyNumberFormat="1" applyFont="1" applyFill="1" applyBorder="1" applyAlignment="1">
      <alignment horizontal="center" vertical="center"/>
    </xf>
    <xf numFmtId="4" fontId="22" fillId="0" borderId="52" xfId="2" applyNumberFormat="1" applyFont="1" applyBorder="1" applyAlignment="1">
      <alignment horizontal="center" vertical="center"/>
    </xf>
    <xf numFmtId="1" fontId="53" fillId="0" borderId="2" xfId="2" applyNumberFormat="1" applyFont="1" applyBorder="1" applyAlignment="1">
      <alignment horizontal="center" vertical="center"/>
    </xf>
    <xf numFmtId="4" fontId="53" fillId="5" borderId="56" xfId="2" applyNumberFormat="1" applyFont="1" applyFill="1" applyBorder="1" applyAlignment="1" applyProtection="1">
      <alignment horizontal="center" vertical="center"/>
      <protection locked="0"/>
    </xf>
    <xf numFmtId="4" fontId="53" fillId="0" borderId="56" xfId="2" applyNumberFormat="1" applyFont="1" applyBorder="1" applyAlignment="1" applyProtection="1">
      <alignment horizontal="center" vertical="center"/>
      <protection locked="0"/>
    </xf>
    <xf numFmtId="1" fontId="53" fillId="0" borderId="3" xfId="2" applyNumberFormat="1" applyFont="1" applyBorder="1" applyAlignment="1">
      <alignment horizontal="center" vertical="center"/>
    </xf>
    <xf numFmtId="4" fontId="53" fillId="5" borderId="74" xfId="2" applyNumberFormat="1" applyFont="1" applyFill="1" applyBorder="1" applyAlignment="1" applyProtection="1">
      <alignment horizontal="center" vertical="center"/>
      <protection locked="0"/>
    </xf>
    <xf numFmtId="4" fontId="53" fillId="0" borderId="74" xfId="2" applyNumberFormat="1" applyFont="1" applyBorder="1" applyAlignment="1" applyProtection="1">
      <alignment horizontal="center" vertical="center"/>
      <protection locked="0"/>
    </xf>
    <xf numFmtId="0" fontId="39" fillId="0" borderId="2" xfId="2" applyFont="1" applyBorder="1" applyAlignment="1">
      <alignment horizontal="center" vertical="center"/>
    </xf>
    <xf numFmtId="0" fontId="39" fillId="0" borderId="57" xfId="2" applyFont="1" applyBorder="1" applyAlignment="1" applyProtection="1">
      <alignment horizontal="right" vertical="center"/>
      <protection locked="0"/>
    </xf>
    <xf numFmtId="4" fontId="39" fillId="2" borderId="56" xfId="2" applyNumberFormat="1" applyFont="1" applyFill="1" applyBorder="1" applyAlignment="1" applyProtection="1">
      <alignment horizontal="center" vertical="center"/>
      <protection locked="0"/>
    </xf>
    <xf numFmtId="4" fontId="39" fillId="0" borderId="56" xfId="2" applyNumberFormat="1" applyFont="1" applyBorder="1" applyAlignment="1" applyProtection="1">
      <alignment horizontal="center" vertical="center"/>
      <protection locked="0"/>
    </xf>
    <xf numFmtId="0" fontId="53" fillId="0" borderId="6" xfId="2" applyFont="1" applyBorder="1" applyAlignment="1">
      <alignment horizontal="center" vertical="center"/>
    </xf>
    <xf numFmtId="0" fontId="53" fillId="0" borderId="84" xfId="2" applyFont="1" applyBorder="1" applyAlignment="1" applyProtection="1">
      <alignment horizontal="center" vertical="center"/>
      <protection locked="0"/>
    </xf>
    <xf numFmtId="1" fontId="53" fillId="0" borderId="6" xfId="2" applyNumberFormat="1" applyFont="1" applyBorder="1" applyAlignment="1">
      <alignment horizontal="center" vertical="center"/>
    </xf>
    <xf numFmtId="4" fontId="53" fillId="5" borderId="83" xfId="2" applyNumberFormat="1" applyFont="1" applyFill="1" applyBorder="1" applyAlignment="1" applyProtection="1">
      <alignment horizontal="center" vertical="center"/>
      <protection locked="0"/>
    </xf>
    <xf numFmtId="4" fontId="53" fillId="0" borderId="83" xfId="2" applyNumberFormat="1" applyFont="1" applyBorder="1" applyAlignment="1" applyProtection="1">
      <alignment horizontal="center" vertical="center"/>
      <protection locked="0"/>
    </xf>
    <xf numFmtId="2" fontId="19" fillId="0" borderId="8" xfId="3" applyNumberFormat="1" applyFont="1" applyFill="1" applyBorder="1" applyAlignment="1" applyProtection="1">
      <alignment wrapText="1"/>
      <protection locked="0"/>
    </xf>
    <xf numFmtId="2" fontId="19" fillId="0" borderId="7" xfId="3" applyNumberFormat="1" applyFont="1" applyFill="1" applyBorder="1" applyAlignment="1" applyProtection="1">
      <alignment wrapText="1"/>
      <protection locked="0"/>
    </xf>
    <xf numFmtId="167" fontId="26" fillId="0" borderId="21" xfId="2" applyNumberFormat="1" applyFont="1" applyFill="1" applyBorder="1" applyAlignment="1">
      <alignment horizontal="center" vertical="center"/>
    </xf>
    <xf numFmtId="167" fontId="26" fillId="0" borderId="24" xfId="2" applyNumberFormat="1" applyFont="1" applyFill="1" applyBorder="1" applyAlignment="1">
      <alignment horizontal="center" vertical="center"/>
    </xf>
    <xf numFmtId="170" fontId="37" fillId="2" borderId="5" xfId="0" applyNumberFormat="1" applyFont="1" applyFill="1" applyBorder="1" applyAlignment="1">
      <alignment horizontal="center" vertical="center" wrapText="1"/>
    </xf>
    <xf numFmtId="170" fontId="37" fillId="2" borderId="2" xfId="0" applyNumberFormat="1" applyFont="1" applyFill="1" applyBorder="1" applyAlignment="1">
      <alignment horizontal="center" vertical="center" wrapText="1"/>
    </xf>
    <xf numFmtId="169" fontId="11" fillId="0" borderId="20" xfId="0" applyNumberFormat="1" applyFont="1" applyBorder="1" applyAlignment="1">
      <alignment horizontal="center" vertical="center" wrapText="1"/>
    </xf>
    <xf numFmtId="169" fontId="11" fillId="0" borderId="21" xfId="0" applyNumberFormat="1" applyFont="1" applyBorder="1" applyAlignment="1">
      <alignment horizontal="center" vertical="center" wrapText="1"/>
    </xf>
    <xf numFmtId="169" fontId="11" fillId="0" borderId="22" xfId="0" applyNumberFormat="1" applyFont="1" applyBorder="1" applyAlignment="1">
      <alignment horizontal="center" vertical="center" wrapText="1"/>
    </xf>
    <xf numFmtId="170" fontId="11" fillId="0" borderId="20" xfId="0" applyNumberFormat="1" applyFont="1" applyBorder="1" applyAlignment="1">
      <alignment horizontal="center" vertical="center" wrapText="1"/>
    </xf>
    <xf numFmtId="170" fontId="11" fillId="0" borderId="21" xfId="0" applyNumberFormat="1" applyFont="1" applyBorder="1" applyAlignment="1">
      <alignment horizontal="center" vertical="center" wrapText="1"/>
    </xf>
    <xf numFmtId="170" fontId="11" fillId="0" borderId="28" xfId="0" applyNumberFormat="1" applyFont="1" applyBorder="1" applyAlignment="1">
      <alignment horizontal="center" vertical="center" wrapText="1"/>
    </xf>
    <xf numFmtId="177" fontId="11" fillId="0" borderId="57" xfId="0" applyNumberFormat="1" applyFont="1" applyBorder="1" applyAlignment="1">
      <alignment horizontal="center" vertical="center" wrapText="1"/>
    </xf>
    <xf numFmtId="177" fontId="11" fillId="0" borderId="22" xfId="0" applyNumberFormat="1" applyFont="1" applyBorder="1" applyAlignment="1">
      <alignment horizontal="center" vertical="center" wrapText="1"/>
    </xf>
    <xf numFmtId="177" fontId="11" fillId="0" borderId="2" xfId="0" applyNumberFormat="1" applyFont="1" applyBorder="1" applyAlignment="1">
      <alignment horizontal="center" vertical="center" wrapText="1"/>
    </xf>
    <xf numFmtId="178" fontId="11" fillId="0" borderId="2" xfId="0" applyNumberFormat="1" applyFont="1" applyBorder="1" applyAlignment="1">
      <alignment horizontal="center" vertical="center" wrapText="1"/>
    </xf>
    <xf numFmtId="178" fontId="22" fillId="3" borderId="4" xfId="0" applyNumberFormat="1" applyFont="1" applyFill="1" applyBorder="1" applyAlignment="1">
      <alignment horizontal="center" vertical="center" wrapText="1"/>
    </xf>
    <xf numFmtId="170" fontId="17" fillId="0" borderId="2" xfId="0" applyNumberFormat="1" applyFont="1" applyBorder="1" applyAlignment="1">
      <alignment horizontal="center" vertical="center" wrapText="1"/>
    </xf>
    <xf numFmtId="168" fontId="30" fillId="2" borderId="2" xfId="0" applyNumberFormat="1" applyFont="1" applyFill="1" applyBorder="1" applyAlignment="1">
      <alignment horizontal="center" vertical="center" wrapText="1"/>
    </xf>
    <xf numFmtId="177" fontId="11" fillId="2" borderId="2" xfId="0" applyNumberFormat="1" applyFont="1" applyFill="1" applyBorder="1" applyAlignment="1">
      <alignment horizontal="center" vertical="center" wrapText="1"/>
    </xf>
    <xf numFmtId="179" fontId="11" fillId="0" borderId="21" xfId="0" applyNumberFormat="1" applyFont="1" applyBorder="1" applyAlignment="1">
      <alignment horizontal="center" vertical="center" wrapText="1"/>
    </xf>
    <xf numFmtId="181" fontId="17" fillId="0" borderId="0" xfId="2" applyNumberFormat="1" applyFont="1"/>
    <xf numFmtId="170" fontId="22" fillId="2" borderId="45" xfId="0" applyNumberFormat="1" applyFont="1" applyFill="1" applyBorder="1" applyAlignment="1" applyProtection="1">
      <alignment horizontal="center" vertical="center"/>
      <protection hidden="1"/>
    </xf>
    <xf numFmtId="180" fontId="22" fillId="2" borderId="45" xfId="0" applyNumberFormat="1" applyFont="1" applyFill="1" applyBorder="1" applyAlignment="1" applyProtection="1">
      <alignment horizontal="center" vertical="center"/>
      <protection hidden="1"/>
    </xf>
    <xf numFmtId="167" fontId="22" fillId="2" borderId="46" xfId="0" applyNumberFormat="1" applyFont="1" applyFill="1" applyBorder="1" applyAlignment="1" applyProtection="1">
      <alignment horizontal="center" vertical="center"/>
      <protection hidden="1"/>
    </xf>
    <xf numFmtId="167" fontId="22" fillId="2" borderId="47" xfId="0" applyNumberFormat="1" applyFont="1" applyFill="1" applyBorder="1" applyAlignment="1" applyProtection="1">
      <alignment horizontal="center" vertical="center"/>
      <protection hidden="1"/>
    </xf>
    <xf numFmtId="171" fontId="22" fillId="2" borderId="43" xfId="0" applyNumberFormat="1" applyFont="1" applyFill="1" applyBorder="1" applyAlignment="1" applyProtection="1">
      <alignment horizontal="center" vertical="center"/>
      <protection hidden="1"/>
    </xf>
    <xf numFmtId="171" fontId="22" fillId="2" borderId="48" xfId="0" applyNumberFormat="1" applyFont="1" applyFill="1" applyBorder="1" applyAlignment="1" applyProtection="1">
      <alignment horizontal="center" vertical="center"/>
      <protection hidden="1"/>
    </xf>
    <xf numFmtId="177" fontId="22" fillId="2" borderId="42" xfId="0" applyNumberFormat="1" applyFont="1" applyFill="1" applyBorder="1" applyAlignment="1" applyProtection="1">
      <alignment horizontal="center" vertical="center"/>
      <protection hidden="1"/>
    </xf>
    <xf numFmtId="182" fontId="11" fillId="0" borderId="21" xfId="0" applyNumberFormat="1" applyFont="1" applyBorder="1" applyAlignment="1">
      <alignment horizontal="center" vertical="center" wrapText="1"/>
    </xf>
    <xf numFmtId="171" fontId="25" fillId="2" borderId="12" xfId="2" applyNumberFormat="1" applyFont="1" applyFill="1" applyBorder="1" applyAlignment="1">
      <alignment horizontal="center" vertical="center"/>
    </xf>
    <xf numFmtId="168" fontId="25" fillId="2" borderId="12" xfId="2" applyNumberFormat="1" applyFont="1" applyFill="1" applyBorder="1" applyAlignment="1">
      <alignment horizontal="center" vertical="center"/>
    </xf>
    <xf numFmtId="180" fontId="22" fillId="2" borderId="42" xfId="0" applyNumberFormat="1" applyFont="1" applyFill="1" applyBorder="1" applyAlignment="1" applyProtection="1">
      <alignment horizontal="center" vertical="center"/>
      <protection hidden="1"/>
    </xf>
    <xf numFmtId="167" fontId="11" fillId="0" borderId="3" xfId="0" applyNumberFormat="1" applyFont="1" applyFill="1" applyBorder="1" applyAlignment="1" applyProtection="1">
      <alignment horizontal="center" vertical="center" wrapText="1"/>
      <protection hidden="1"/>
    </xf>
    <xf numFmtId="167" fontId="11" fillId="0" borderId="2" xfId="0" applyNumberFormat="1" applyFont="1" applyFill="1" applyBorder="1" applyAlignment="1" applyProtection="1">
      <alignment horizontal="center" vertical="center" wrapText="1"/>
      <protection hidden="1"/>
    </xf>
    <xf numFmtId="167" fontId="11" fillId="0" borderId="2" xfId="0" applyNumberFormat="1" applyFont="1" applyFill="1" applyBorder="1" applyAlignment="1">
      <alignment horizontal="center" vertical="center" wrapText="1"/>
    </xf>
    <xf numFmtId="167" fontId="17" fillId="0" borderId="2" xfId="0" applyNumberFormat="1" applyFont="1" applyFill="1" applyBorder="1" applyAlignment="1">
      <alignment horizontal="center" vertical="center" wrapText="1"/>
    </xf>
    <xf numFmtId="167" fontId="17" fillId="0" borderId="3"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167" fontId="16" fillId="0" borderId="4" xfId="0" applyNumberFormat="1" applyFont="1" applyFill="1" applyBorder="1" applyAlignment="1" applyProtection="1">
      <alignment horizontal="center" vertical="center" wrapText="1"/>
      <protection hidden="1"/>
    </xf>
    <xf numFmtId="170" fontId="17" fillId="0" borderId="2" xfId="0" applyNumberFormat="1" applyFont="1" applyFill="1" applyBorder="1" applyAlignment="1">
      <alignment horizontal="center" vertical="center" wrapText="1"/>
    </xf>
    <xf numFmtId="167" fontId="11" fillId="0" borderId="6" xfId="0" applyNumberFormat="1" applyFont="1" applyFill="1" applyBorder="1" applyAlignment="1">
      <alignment horizontal="center" vertical="center" wrapText="1"/>
    </xf>
    <xf numFmtId="167" fontId="17" fillId="0" borderId="2" xfId="0" applyNumberFormat="1" applyFont="1" applyFill="1" applyBorder="1" applyAlignment="1" applyProtection="1">
      <alignment horizontal="center" vertical="center"/>
      <protection hidden="1"/>
    </xf>
    <xf numFmtId="178" fontId="17" fillId="0" borderId="0" xfId="2" applyNumberFormat="1" applyFont="1"/>
    <xf numFmtId="167" fontId="4" fillId="0" borderId="0" xfId="0" applyNumberFormat="1" applyFont="1" applyAlignment="1">
      <alignment horizontal="center" vertical="center" wrapText="1"/>
    </xf>
    <xf numFmtId="168" fontId="16" fillId="2" borderId="5" xfId="0" applyNumberFormat="1" applyFont="1" applyFill="1" applyBorder="1" applyAlignment="1" applyProtection="1">
      <alignment horizontal="center" vertical="center" wrapText="1"/>
      <protection hidden="1"/>
    </xf>
    <xf numFmtId="167" fontId="16" fillId="2" borderId="5" xfId="0" applyNumberFormat="1" applyFont="1" applyFill="1" applyBorder="1" applyAlignment="1" applyProtection="1">
      <alignment horizontal="center" vertical="center" wrapText="1"/>
      <protection hidden="1"/>
    </xf>
    <xf numFmtId="4" fontId="17" fillId="0" borderId="20" xfId="0" applyNumberFormat="1" applyFont="1" applyFill="1" applyBorder="1" applyAlignment="1" applyProtection="1">
      <alignment horizontal="center" vertical="center"/>
      <protection hidden="1"/>
    </xf>
    <xf numFmtId="167" fontId="22" fillId="2" borderId="42" xfId="0" applyNumberFormat="1" applyFont="1" applyFill="1" applyBorder="1" applyAlignment="1" applyProtection="1">
      <alignment horizontal="center" vertical="center" wrapText="1"/>
      <protection hidden="1"/>
    </xf>
    <xf numFmtId="169" fontId="22" fillId="2" borderId="45" xfId="0" applyNumberFormat="1" applyFont="1" applyFill="1" applyBorder="1" applyAlignment="1" applyProtection="1">
      <alignment horizontal="center" vertical="center" wrapText="1"/>
      <protection hidden="1"/>
    </xf>
    <xf numFmtId="169" fontId="22" fillId="2" borderId="46" xfId="0" applyNumberFormat="1" applyFont="1" applyFill="1" applyBorder="1" applyAlignment="1" applyProtection="1">
      <alignment horizontal="center" vertical="center" wrapText="1"/>
      <protection hidden="1"/>
    </xf>
    <xf numFmtId="169" fontId="22" fillId="2" borderId="47" xfId="0" applyNumberFormat="1" applyFont="1" applyFill="1" applyBorder="1" applyAlignment="1" applyProtection="1">
      <alignment horizontal="center" vertical="center" wrapText="1"/>
      <protection hidden="1"/>
    </xf>
    <xf numFmtId="169" fontId="22" fillId="2" borderId="42" xfId="0" applyNumberFormat="1" applyFont="1" applyFill="1" applyBorder="1" applyAlignment="1" applyProtection="1">
      <alignment horizontal="center" vertical="center" wrapText="1"/>
      <protection hidden="1"/>
    </xf>
    <xf numFmtId="169" fontId="22" fillId="2" borderId="48" xfId="0" applyNumberFormat="1" applyFont="1" applyFill="1" applyBorder="1" applyAlignment="1" applyProtection="1">
      <alignment horizontal="center" vertical="center" wrapText="1"/>
      <protection hidden="1"/>
    </xf>
    <xf numFmtId="4" fontId="26" fillId="0" borderId="21" xfId="2" applyNumberFormat="1" applyFont="1" applyFill="1" applyBorder="1" applyAlignment="1">
      <alignment horizontal="center" vertical="center"/>
    </xf>
    <xf numFmtId="4" fontId="26" fillId="0" borderId="24" xfId="2" applyNumberFormat="1" applyFont="1" applyFill="1" applyBorder="1" applyAlignment="1">
      <alignment horizontal="center" vertical="center"/>
    </xf>
    <xf numFmtId="168" fontId="22" fillId="2" borderId="4" xfId="0" applyNumberFormat="1" applyFont="1" applyFill="1" applyBorder="1" applyAlignment="1">
      <alignment horizontal="center" vertical="center" wrapText="1"/>
    </xf>
    <xf numFmtId="4" fontId="25" fillId="0" borderId="46" xfId="2" applyNumberFormat="1" applyFont="1" applyFill="1" applyBorder="1" applyAlignment="1">
      <alignment horizontal="center" vertical="center"/>
    </xf>
    <xf numFmtId="0" fontId="53" fillId="0" borderId="57" xfId="2" applyFont="1" applyBorder="1" applyAlignment="1">
      <alignment horizontal="right" vertical="center"/>
    </xf>
    <xf numFmtId="0" fontId="53" fillId="0" borderId="54" xfId="2" applyFont="1" applyBorder="1" applyAlignment="1">
      <alignment horizontal="right" vertical="center"/>
    </xf>
    <xf numFmtId="0" fontId="53" fillId="0" borderId="123" xfId="2" applyFont="1" applyBorder="1" applyAlignment="1">
      <alignment horizontal="right" vertical="center"/>
    </xf>
    <xf numFmtId="0" fontId="53" fillId="0" borderId="18" xfId="2" applyFont="1" applyBorder="1" applyAlignment="1">
      <alignment horizontal="right" vertical="center"/>
    </xf>
    <xf numFmtId="2" fontId="53" fillId="2" borderId="53" xfId="2" applyNumberFormat="1" applyFont="1" applyFill="1" applyBorder="1" applyAlignment="1" applyProtection="1">
      <alignment horizontal="center" vertical="center"/>
      <protection locked="0"/>
    </xf>
    <xf numFmtId="2" fontId="53" fillId="2" borderId="52" xfId="2" applyNumberFormat="1" applyFont="1" applyFill="1" applyBorder="1" applyAlignment="1" applyProtection="1">
      <alignment horizontal="center" vertical="center"/>
      <protection locked="0"/>
    </xf>
    <xf numFmtId="3" fontId="16" fillId="0" borderId="38" xfId="2" applyNumberFormat="1" applyFont="1" applyBorder="1" applyAlignment="1" applyProtection="1">
      <alignment horizontal="center" vertical="center"/>
      <protection locked="0"/>
    </xf>
    <xf numFmtId="3" fontId="16" fillId="0" borderId="39" xfId="2" applyNumberFormat="1" applyFont="1" applyBorder="1" applyAlignment="1" applyProtection="1">
      <alignment horizontal="center" vertical="center"/>
      <protection locked="0"/>
    </xf>
    <xf numFmtId="2" fontId="16" fillId="2" borderId="53" xfId="2" applyNumberFormat="1" applyFont="1" applyFill="1" applyBorder="1" applyAlignment="1" applyProtection="1">
      <alignment horizontal="center" vertical="center"/>
      <protection locked="0"/>
    </xf>
    <xf numFmtId="2" fontId="16" fillId="2" borderId="52" xfId="2" applyNumberFormat="1" applyFont="1" applyFill="1" applyBorder="1" applyAlignment="1" applyProtection="1">
      <alignment horizontal="center" vertical="center"/>
      <protection locked="0"/>
    </xf>
    <xf numFmtId="2" fontId="16" fillId="2" borderId="31" xfId="2" applyNumberFormat="1" applyFont="1" applyFill="1" applyBorder="1" applyAlignment="1" applyProtection="1">
      <alignment horizontal="center" vertical="center" wrapText="1"/>
      <protection locked="0"/>
    </xf>
    <xf numFmtId="2" fontId="16" fillId="2" borderId="83" xfId="2" applyNumberFormat="1" applyFont="1" applyFill="1" applyBorder="1" applyAlignment="1" applyProtection="1">
      <alignment horizontal="center" vertical="center" wrapText="1"/>
      <protection locked="0"/>
    </xf>
    <xf numFmtId="2" fontId="16" fillId="2" borderId="53" xfId="2" applyNumberFormat="1" applyFont="1" applyFill="1" applyBorder="1" applyAlignment="1" applyProtection="1">
      <alignment horizontal="center" vertical="center" wrapText="1"/>
      <protection locked="0"/>
    </xf>
    <xf numFmtId="2" fontId="16" fillId="2" borderId="52" xfId="2" applyNumberFormat="1" applyFont="1" applyFill="1" applyBorder="1" applyAlignment="1" applyProtection="1">
      <alignment horizontal="center" vertical="center" wrapText="1"/>
      <protection locked="0"/>
    </xf>
    <xf numFmtId="2" fontId="53" fillId="2" borderId="31" xfId="2" applyNumberFormat="1" applyFont="1" applyFill="1" applyBorder="1" applyAlignment="1" applyProtection="1">
      <alignment horizontal="center" vertical="center"/>
      <protection locked="0"/>
    </xf>
    <xf numFmtId="2" fontId="53" fillId="2" borderId="83" xfId="2" applyNumberFormat="1" applyFont="1" applyFill="1" applyBorder="1" applyAlignment="1" applyProtection="1">
      <alignment horizontal="center" vertical="center"/>
      <protection locked="0"/>
    </xf>
    <xf numFmtId="2" fontId="53" fillId="2" borderId="38" xfId="2" applyNumberFormat="1" applyFont="1" applyFill="1" applyBorder="1" applyAlignment="1" applyProtection="1">
      <alignment horizontal="center" vertical="center"/>
      <protection locked="0"/>
    </xf>
    <xf numFmtId="2" fontId="53" fillId="2" borderId="39" xfId="2" applyNumberFormat="1" applyFont="1" applyFill="1" applyBorder="1" applyAlignment="1" applyProtection="1">
      <alignment horizontal="center" vertical="center"/>
      <protection locked="0"/>
    </xf>
    <xf numFmtId="173" fontId="16" fillId="2" borderId="38" xfId="2" applyNumberFormat="1" applyFont="1" applyFill="1" applyBorder="1" applyAlignment="1" applyProtection="1">
      <alignment horizontal="center" vertical="center"/>
      <protection locked="0"/>
    </xf>
    <xf numFmtId="173" fontId="16" fillId="2" borderId="39" xfId="2" applyNumberFormat="1" applyFont="1" applyFill="1" applyBorder="1" applyAlignment="1" applyProtection="1">
      <alignment horizontal="center" vertical="center"/>
      <protection locked="0"/>
    </xf>
  </cellXfs>
  <cellStyles count="7">
    <cellStyle name="Comma 2 5" xfId="4" xr:uid="{E7CF82E8-376F-40AE-B82F-5CBDC15EE6B9}"/>
    <cellStyle name="Comma 9" xfId="3" xr:uid="{94A4B721-2110-423E-80DD-D514EE6E6B2A}"/>
    <cellStyle name="Įprastas" xfId="0" builtinId="0"/>
    <cellStyle name="Normal 2 5" xfId="5" xr:uid="{6990577E-4672-411C-9934-CD729865BE45}"/>
    <cellStyle name="Normal 2 7" xfId="2" xr:uid="{16D21D7C-3418-4F94-BE95-4FBEE8992A50}"/>
    <cellStyle name="Normal 4 2" xfId="1" xr:uid="{3B2D38E8-0E8A-4FD4-B932-D5F7F59A66B5}"/>
    <cellStyle name="Normal 5 2" xfId="6" xr:uid="{6C2EBEB8-E1E0-4732-924A-46853E381A0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egula.lt/Bendri%20darbai/Ekonomistes/EKONOMIS/PLANAI/2008/Vartotojai/Rita%20Raisutiene/2006P/planas2006-13-11.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Rapolas\Dropbox\_enerlink%20baltic\_projektai\201507%20Nem&#279;&#382;io%20komunalininkas\_modelis\rezultatai%200929%20FINAL\NMK_modelis_092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_serveris\Users\Astute\AppData\Local\Microsoft\Windows\Temporary%20Internet%20Files\Content.Outlook\GDJBI96V\Bendri%20darbai\Ekonomistes\EKONOMIS\PLANAI\2008\Vartotojai\Rita%20Raisutiene\2006P\planas2006-13-1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rstriukas001/Dropbox/150428/KUP%20modelis/_projektai/Simega/150425%20modelis%20galutinis/Modelis/wp/I_2.Apskaitos%20atskyrimo%20modelis-150123-tuscia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USERS\Grazvyda\2005\S&#261;naud&#371;%20pl%202005-baz12-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Vartotojai\Rita%20Raisutiene\2010\ANALIZ&#278;S\planas2010(kopija1)k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endri%20darbai\Ekonomistes\EKONOMIS\PLANAI\2008\Vartotojai\Rita%20Raisutiene\2006P\planas2006-13-1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ilniaus%20Energija/_VE%20darbiniai%20failai/07%20-%20modelis/VE%201404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endri%20darbai\Ekonomistes\EKONOMIS\PLANAI\2008\Vartotojai\Rita%20Raisutiene\2006P\planas2006-13-1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ropbox\Dropbox\_enerlink_projektai\RKU_SIL_modelis_101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_serveris\bendra\Bendri%20darbai\Ekonomistes\EKONOMIS\PLANAI\2008\Vartotojai\Rita%20Raisutiene\2006P\planas2006-13-1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Grazvyda\2005\S&#261;naud&#371;%20pl%202005-baz12-2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triukas/Desktop/_projektai/Simega/150429%20modelis%20galutinis/_projektai/Simega/150425%20modelis%20galutinis/Modelis/wp/I_2.Apskaitos%20atskyrimo%20modelis-150123-tuscia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rstriukas001/!stuff/_2.Enerlink/_projektai/Simega/KUP%20modelis/wp/KUP_modelis_03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Realizacija"/>
      <sheetName val="bendra"/>
      <sheetName val="sg_viso_"/>
      <sheetName val="sg viso"/>
      <sheetName val="Prices"/>
      <sheetName val="Pradžia"/>
      <sheetName val="1. DK_grupes"/>
      <sheetName val="lentele5"/>
      <sheetName val="sg_viso_1"/>
      <sheetName val="naud_atl_"/>
      <sheetName val="el_en_g_"/>
      <sheetName val="išl_el_"/>
      <sheetName val="išl_el__G"/>
      <sheetName val="sg_viso"/>
      <sheetName val="_"/>
      <sheetName val="1.vardai"/>
      <sheetName val="wp_sarasai"/>
      <sheetName val="Mazutas mėnesiais"/>
      <sheetName val="0.vardai"/>
      <sheetName val="Kontrole"/>
      <sheetName val="Pav.tvarkyklė"/>
      <sheetName val="1__DK_gru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
      <sheetName val="Turinys"/>
      <sheetName val="AR"/>
      <sheetName val="Suvestinė"/>
      <sheetName val="Pradžia"/>
      <sheetName val="0.Nešikliai"/>
      <sheetName val="1.DK"/>
      <sheetName val="2.Sąnaudos"/>
      <sheetName val="2a"/>
      <sheetName val="3.Personalas"/>
      <sheetName val="4.Turtas"/>
      <sheetName val="5.Rezervas"/>
      <sheetName val="6.Pajamos"/>
      <sheetName val="7.SandoriaiVV"/>
      <sheetName val="8.Balansas"/>
      <sheetName val="2b"/>
      <sheetName val="Kontrolė"/>
      <sheetName val="Kontrole"/>
      <sheetName val="1"/>
      <sheetName val="2"/>
      <sheetName val="3"/>
      <sheetName val="4"/>
      <sheetName val="5-1"/>
      <sheetName val="5-2"/>
      <sheetName val="5-3"/>
      <sheetName val="5-5"/>
      <sheetName val="5-7"/>
      <sheetName val="5-8"/>
      <sheetName val="7"/>
      <sheetName val="8"/>
      <sheetName val="9"/>
      <sheetName val="10"/>
      <sheetName val="13"/>
      <sheetName val="14"/>
      <sheetName val="15"/>
      <sheetName val="16"/>
      <sheetName val="17"/>
      <sheetName val="AR_p"/>
      <sheetName val="1.vardai"/>
      <sheetName val="_lists"/>
      <sheetName val="gamybak"/>
    </sheetNames>
    <sheetDataSet>
      <sheetData sheetId="0">
        <row r="17">
          <cell r="H17" t="str">
            <v>0.Gamybos_šaltinis_AŠT</v>
          </cell>
        </row>
        <row r="18">
          <cell r="H18" t="str">
            <v>0.Gamybos_šaltinis_Kaimas</v>
          </cell>
        </row>
        <row r="19">
          <cell r="H19" t="str">
            <v>I.Gamyba</v>
          </cell>
        </row>
        <row r="20">
          <cell r="H20" t="str">
            <v>I.Rezervas</v>
          </cell>
        </row>
        <row r="21">
          <cell r="H21" t="str">
            <v>I.Perdavimas</v>
          </cell>
        </row>
        <row r="22">
          <cell r="H22" t="str">
            <v>I.Mažm_aptarnavimas</v>
          </cell>
        </row>
        <row r="23">
          <cell r="H23" t="str">
            <v>I.Sis_priežiūra</v>
          </cell>
        </row>
        <row r="24">
          <cell r="H24" t="str">
            <v>I.Sis_rekonstrukcija</v>
          </cell>
        </row>
        <row r="25">
          <cell r="H25" t="str">
            <v>I.ATL</v>
          </cell>
        </row>
        <row r="26">
          <cell r="H26" t="str">
            <v>I.Vanduo</v>
          </cell>
        </row>
        <row r="27">
          <cell r="H27" t="str">
            <v>I.Nereguliuojama</v>
          </cell>
        </row>
        <row r="28">
          <cell r="H28" t="str">
            <v>-</v>
          </cell>
        </row>
        <row r="29">
          <cell r="H29" t="str">
            <v>-</v>
          </cell>
        </row>
        <row r="30">
          <cell r="H30" t="str">
            <v>-</v>
          </cell>
        </row>
        <row r="31">
          <cell r="H31" t="str">
            <v>-</v>
          </cell>
        </row>
        <row r="32">
          <cell r="H32" t="str">
            <v>-</v>
          </cell>
        </row>
        <row r="33">
          <cell r="H33" t="str">
            <v>I.Perteklinė_galia</v>
          </cell>
        </row>
        <row r="34">
          <cell r="H34" t="str">
            <v>II.Infrastruktūros_eksploatacija</v>
          </cell>
        </row>
        <row r="35">
          <cell r="H35" t="str">
            <v>II.Pardavimai</v>
          </cell>
        </row>
        <row r="36">
          <cell r="H36" t="str">
            <v>II.Sandėlis</v>
          </cell>
        </row>
        <row r="37">
          <cell r="H37" t="str">
            <v>II.Transportas</v>
          </cell>
        </row>
        <row r="38">
          <cell r="H38" t="str">
            <v>II.Personalas</v>
          </cell>
        </row>
        <row r="39">
          <cell r="H39" t="str">
            <v>II.Dirbtuvės</v>
          </cell>
        </row>
        <row r="40">
          <cell r="H40" t="str">
            <v>- - -</v>
          </cell>
        </row>
        <row r="41">
          <cell r="H41" t="str">
            <v>- - -</v>
          </cell>
        </row>
        <row r="42">
          <cell r="H42" t="str">
            <v>- - -</v>
          </cell>
        </row>
        <row r="43">
          <cell r="H43" t="str">
            <v>- - -</v>
          </cell>
        </row>
        <row r="44">
          <cell r="H44" t="str">
            <v>III.ADMIN</v>
          </cell>
        </row>
        <row r="45">
          <cell r="H45" t="str">
            <v>IV.NEPAS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Prices"/>
      <sheetName val="sg_viso_"/>
      <sheetName val="naud_atl_"/>
      <sheetName val="el_en_g_"/>
      <sheetName val="išl_el_"/>
      <sheetName val="išl_el__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lists"/>
      <sheetName val="Pokyčiai"/>
      <sheetName val="Instrukcija"/>
      <sheetName val="Pradžia"/>
      <sheetName val="0.Nešikliai"/>
      <sheetName val="1.DK"/>
      <sheetName val="2.Turtas"/>
      <sheetName val="2a"/>
      <sheetName val="2b"/>
      <sheetName val="2^a"/>
      <sheetName val="2^b"/>
      <sheetName val="2^c"/>
      <sheetName val="3.Personalas"/>
      <sheetName val="3a"/>
      <sheetName val="4a.Būtinosios"/>
      <sheetName val="4b.Nebūtinosios"/>
      <sheetName val="5.Sąnaudos"/>
      <sheetName val="5a"/>
      <sheetName val="5b"/>
      <sheetName val="6.Kogeneracija"/>
      <sheetName val="6a"/>
      <sheetName val="7.Balansas"/>
      <sheetName val="PR1.Konsoliduota P(N)"/>
      <sheetName val="PR2.Konsoliduotas B"/>
      <sheetName val="PR3.Konsoliduotas JR"/>
      <sheetName val="PR4.IT ataskaita"/>
      <sheetName val="PR5.VV1"/>
      <sheetName val="PR5.VV2"/>
      <sheetName val="PR5.VV3"/>
      <sheetName val="PR5.VV4"/>
      <sheetName val="PR5.VV5"/>
      <sheetName val="PR5.VV6"/>
      <sheetName val="PR5.VV7"/>
      <sheetName val="PR5.VV8"/>
      <sheetName val="PRIEDAS 6. IT normatyvai"/>
      <sheetName val="PR7.Didzioji Knyga"/>
      <sheetName val="PR8.TS ataskaita"/>
      <sheetName val="PR9.NS ataskaita"/>
      <sheetName val="PR10.NS-PP ataskaita"/>
      <sheetName val="PR11.Kogeneracija"/>
      <sheetName val="PR12.Elektra SR"/>
      <sheetName val="PR13.Šiluma SR"/>
      <sheetName val="PR14.BS ataskaita"/>
      <sheetName val="PR15.Sanaudu ataskaita"/>
      <sheetName val="PRIEDAS 16. Būtinos sąnaudos"/>
      <sheetName val="PRIEDAS 17. Paslaugų ataskaita"/>
      <sheetName val="0_Nešikliai"/>
      <sheetName val="1_DK"/>
      <sheetName val="2_Turtas"/>
      <sheetName val="3_Personalas"/>
      <sheetName val="4a_Būtinosios"/>
      <sheetName val="4b_Nebūtinosios"/>
      <sheetName val="5_Sąnaudos"/>
      <sheetName val="6_Kogeneracija"/>
      <sheetName val="7_Balansas"/>
      <sheetName val="PR1_Konsoliduota_P(N)"/>
      <sheetName val="PR2_Konsoliduotas_B"/>
      <sheetName val="PR3_Konsoliduotas_JR"/>
      <sheetName val="PR4_IT_ataskaita"/>
      <sheetName val="PR5_VV1"/>
      <sheetName val="PR5_VV2"/>
      <sheetName val="PR5_VV3"/>
      <sheetName val="PR5_VV4"/>
      <sheetName val="PR5_VV5"/>
      <sheetName val="PR5_VV6"/>
      <sheetName val="PR5_VV7"/>
      <sheetName val="PR5_VV8"/>
      <sheetName val="PRIEDAS_6__IT_normatyvai"/>
      <sheetName val="PR7_Didzioji_Knyga"/>
      <sheetName val="PR8_TS_ataskaita"/>
      <sheetName val="PR9_NS_ataskaita"/>
      <sheetName val="PR10_NS-PP_ataskaita"/>
      <sheetName val="PR11_Kogeneracija"/>
      <sheetName val="PR12_Elektra_SR"/>
      <sheetName val="PR13_Šiluma_SR"/>
      <sheetName val="PR14_BS_ataskaita"/>
      <sheetName val="PR15_Sanaudu_ataskaita"/>
      <sheetName val="PRIEDAS_16__Būtinos_sąnaudos"/>
      <sheetName val="PRIEDAS_17__Paslaugų_ataskaita"/>
    </sheetNames>
    <sheetDataSet>
      <sheetData sheetId="0">
        <row r="6">
          <cell r="C6" t="str">
            <v>I.Nematerialus</v>
          </cell>
        </row>
        <row r="223">
          <cell r="C223" t="str">
            <v>-</v>
          </cell>
        </row>
      </sheetData>
      <sheetData sheetId="1" refreshError="1"/>
      <sheetData sheetId="2" refreshError="1"/>
      <sheetData sheetId="3">
        <row r="9">
          <cell r="U9" t="str">
            <v>Visos</v>
          </cell>
        </row>
        <row r="10">
          <cell r="U10">
            <v>0</v>
          </cell>
        </row>
        <row r="11">
          <cell r="U11">
            <v>0</v>
          </cell>
        </row>
        <row r="12">
          <cell r="U12">
            <v>0</v>
          </cell>
        </row>
        <row r="13">
          <cell r="U13">
            <v>0</v>
          </cell>
        </row>
        <row r="14">
          <cell r="U14">
            <v>0</v>
          </cell>
        </row>
      </sheetData>
      <sheetData sheetId="4"/>
      <sheetData sheetId="5" refreshError="1"/>
      <sheetData sheetId="6"/>
      <sheetData sheetId="7"/>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K"/>
      <sheetName val="MK"/>
      <sheetName val="rajone"/>
      <sheetName val="pirkta"/>
      <sheetName val="balansas"/>
      <sheetName val="naud.atl."/>
      <sheetName val="el.en.g."/>
      <sheetName val="išl.el."/>
      <sheetName val="tarif"/>
      <sheetName val="išl.el. G"/>
      <sheetName val="BŪĮ"/>
      <sheetName val="draudimai"/>
      <sheetName val="veiklos"/>
      <sheetName val="bendra"/>
      <sheetName val="sg_viso_"/>
      <sheetName val="naud_atl_"/>
      <sheetName val="el_en_g_"/>
      <sheetName val="išl_el_"/>
      <sheetName val="išl_el__G"/>
      <sheetName val="sg viso"/>
      <sheetName val="sg_viso_1"/>
      <sheetName val="naud_atl_1"/>
      <sheetName val="el_en_g_1"/>
      <sheetName val="išl_el_1"/>
      <sheetName val="išl_el__G1"/>
      <sheetName val="sg_vi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elaidos"/>
      <sheetName val="dkainos"/>
      <sheetName val="kainos"/>
      <sheetName val="suv"/>
      <sheetName val="suv(paskutinis)"/>
      <sheetName val="sg viso "/>
      <sheetName val="mieste"/>
      <sheetName val="elektrine"/>
      <sheetName val="KRK"/>
      <sheetName val="LRK"/>
      <sheetName val="pirkta"/>
      <sheetName val="PK"/>
      <sheetName val="MK"/>
      <sheetName val="rajone"/>
      <sheetName val="balansas"/>
      <sheetName val="naud.atl."/>
      <sheetName val="priel"/>
      <sheetName val="el.en.g."/>
      <sheetName val="elektra"/>
      <sheetName val="išl.el."/>
      <sheetName val="tarif"/>
      <sheetName val="išl.el. G"/>
      <sheetName val="draudimai"/>
      <sheetName val="veiklos"/>
      <sheetName val="Janinai"/>
      <sheetName val="Kainų dedamosios"/>
      <sheetName val="PŠ kainos"/>
      <sheetName val="PE"/>
      <sheetName val="GEOTERMOS"/>
      <sheetName val="Mazuto kainos"/>
      <sheetName val="sg viso"/>
      <sheetName val="sg_viso_"/>
      <sheetName val="naud_atl_"/>
      <sheetName val="el_en_g_"/>
      <sheetName val="išl_el_"/>
      <sheetName val="išl_el__G"/>
      <sheetName val="Kainų_dedamosios"/>
      <sheetName val="PŠ_kainos"/>
      <sheetName val="Mazuto_kainos"/>
      <sheetName val="sg_vi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_"/>
      <sheetName val="sg_viso_"/>
      <sheetName val="1. DK_grupes"/>
      <sheetName val="Pradžia"/>
      <sheetName val="1.vardai"/>
      <sheetName val="wp_sarasai"/>
      <sheetName val="Mazutas mėnesiais"/>
      <sheetName val="sg viso"/>
      <sheetName val="0.vardai"/>
      <sheetName val="lentele5"/>
      <sheetName val="Pav.tvarkyklė"/>
      <sheetName val="sg_viso_1"/>
      <sheetName val="naud_atl_"/>
      <sheetName val="el_en_g_"/>
      <sheetName val="išl_el_"/>
      <sheetName val="išl_el__G"/>
      <sheetName val="1__DK_grupes"/>
      <sheetName val="1_vardai"/>
      <sheetName val="Mazutas_mėnesiais"/>
      <sheetName val="sg_viso"/>
      <sheetName val="0_varda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asaja"/>
      <sheetName val="_lists"/>
      <sheetName val="Instrukcija"/>
      <sheetName val="Instrukcija2"/>
      <sheetName val="Pradžia"/>
      <sheetName val="0.Nešikliai"/>
      <sheetName val="1.IT"/>
      <sheetName val="1pa"/>
      <sheetName val="1pc"/>
      <sheetName val="1cal"/>
      <sheetName val="1call"/>
      <sheetName val="1pa^"/>
      <sheetName val="1pc^"/>
      <sheetName val="1cal^"/>
      <sheetName val="1call^"/>
      <sheetName val="1. ITNAV-RAS"/>
      <sheetName val="1. NUOS-NUOM"/>
      <sheetName val="1--"/>
      <sheetName val="2. Sąnaudos"/>
      <sheetName val="2.1 Dalis DK sąskaitos - TS"/>
      <sheetName val="2.2 DK sąskaitos"/>
      <sheetName val="2.3 DK Padaliniai"/>
      <sheetName val="2.Sąnaudos"/>
      <sheetName val="San sąs"/>
      <sheetName val="2. TS"/>
      <sheetName val="2. TS^"/>
      <sheetName val="2.pa"/>
      <sheetName val="2.pa^"/>
      <sheetName val="2.pc^"/>
      <sheetName val="2. BS"/>
      <sheetName val="2.TS^^"/>
      <sheetName val="pagrindinis"/>
      <sheetName val="tiesiog_pad"/>
      <sheetName val="3. Kogeneracija"/>
      <sheetName val="3.Kogeneracija^"/>
      <sheetName val="4.Pajamos"/>
      <sheetName val="pajamos_bir"/>
      <sheetName val="pajam_sas"/>
      <sheetName val="5.Balansas"/>
      <sheetName val="PR1.Konsoliduota P(N)"/>
      <sheetName val="3.Šiluma SR callc"/>
      <sheetName val="PR2.Konsoliduotas B"/>
      <sheetName val="PR3.Konsoliduotas JR"/>
      <sheetName val="PR4.IT ataskaita"/>
      <sheetName val="PR4. IT ataskaita"/>
      <sheetName val="PR5.VV1"/>
      <sheetName val="PR5.VV2"/>
      <sheetName val="PR5.VV3"/>
      <sheetName val="PR5.VV4"/>
      <sheetName val="PR5.VV5"/>
      <sheetName val="PR5.VV6"/>
      <sheetName val="PR5.VV7"/>
      <sheetName val="PR5.VV8"/>
      <sheetName val="PRIEDAS 6. IT normatyvai"/>
      <sheetName val="PR7.Didzioji Knyga"/>
      <sheetName val="PR8.TS ataskaita"/>
      <sheetName val="PR9.NS ataskaita"/>
      <sheetName val="PR10.NS-PP ataskaita"/>
      <sheetName val="PR11.Kogeneracija"/>
      <sheetName val="PR12.Elektra SR"/>
      <sheetName val="PR13.Šiluma SR"/>
      <sheetName val="PR14.BS ataskaita"/>
      <sheetName val="PR15.Sanaudu ataskaita"/>
      <sheetName val="PRIEDAS 16. Būt. sąn. ataskaita"/>
      <sheetName val="PRIEDAS 17. Paslaugų ataskaita"/>
      <sheetName val="PRIEDAS 18. Silumos kiekiai"/>
      <sheetName val="PRIEDAS 19. Bazinei k "/>
      <sheetName val="PRIEDAS 20. Perskaiciuotai k"/>
      <sheetName val="PRIEDAS 21. Investicijų planas"/>
      <sheetName val="PRIEDAS 22. Sanaudos del kainu"/>
      <sheetName val="PRIEDAS 23. JR koregavimas"/>
      <sheetName val="PRIEDAS 24. Normatyvai"/>
      <sheetName val="PRIEDAS 25. Simboliai"/>
      <sheetName val="PRIEDAS 10. Elektra SR"/>
      <sheetName val="PRIEDAS 11. Šiluma SR"/>
      <sheetName val="0_Nešikliai"/>
      <sheetName val="1_IT"/>
      <sheetName val="1__ITNAV-RAS"/>
      <sheetName val="1__NUOS-NUOM"/>
      <sheetName val="2__Sąnaudos"/>
      <sheetName val="2_1_Dalis_DK_sąskaitos_-_TS"/>
      <sheetName val="2_2_DK_sąskaitos"/>
      <sheetName val="2_3_DK_Padaliniai"/>
      <sheetName val="2_Sąnaudos"/>
      <sheetName val="San_sąs"/>
      <sheetName val="2__TS"/>
      <sheetName val="2__TS^"/>
      <sheetName val="2_pa"/>
      <sheetName val="2_pa^"/>
      <sheetName val="2_pc^"/>
      <sheetName val="2__BS"/>
      <sheetName val="2_TS^^"/>
      <sheetName val="3__Kogeneracija"/>
      <sheetName val="3_Kogeneracija^"/>
      <sheetName val="4_Pajamos"/>
      <sheetName val="5_Balansas"/>
      <sheetName val="PR1_Konsoliduota_P(N)"/>
      <sheetName val="3_Šiluma_SR_callc"/>
      <sheetName val="PR2_Konsoliduotas_B"/>
      <sheetName val="PR3_Konsoliduotas_JR"/>
      <sheetName val="PR4_IT_ataskaita"/>
      <sheetName val="PR4__IT_ataskaita"/>
      <sheetName val="PR5_VV1"/>
      <sheetName val="PR5_VV2"/>
      <sheetName val="PR5_VV3"/>
      <sheetName val="PR5_VV4"/>
      <sheetName val="PR5_VV5"/>
      <sheetName val="PR5_VV6"/>
      <sheetName val="PR5_VV7"/>
      <sheetName val="PR5_VV8"/>
      <sheetName val="PRIEDAS_6__IT_normatyvai"/>
      <sheetName val="PR7_Didzioji_Knyga"/>
      <sheetName val="PR8_TS_ataskaita"/>
      <sheetName val="PR9_NS_ataskaita"/>
      <sheetName val="PR10_NS-PP_ataskaita"/>
      <sheetName val="PR11_Kogeneracija"/>
      <sheetName val="PR12_Elektra_SR"/>
      <sheetName val="PR13_Šiluma_SR"/>
      <sheetName val="PR14_BS_ataskaita"/>
      <sheetName val="PR15_Sanaudu_ataskaita"/>
      <sheetName val="PRIEDAS_16__Būt__sąn__ataskaita"/>
      <sheetName val="PRIEDAS_17__Paslaugų_ataskaita"/>
      <sheetName val="PRIEDAS_18__Silumos_kiekiai"/>
      <sheetName val="PRIEDAS_19__Bazinei_k_"/>
      <sheetName val="PRIEDAS_20__Perskaiciuotai_k"/>
      <sheetName val="PRIEDAS_21__Investicijų_planas"/>
      <sheetName val="PRIEDAS_22__Sanaudos_del_kainu"/>
      <sheetName val="PRIEDAS_23__JR_koregavimas"/>
      <sheetName val="PRIEDAS_24__Normatyvai"/>
      <sheetName val="PRIEDAS_25__Simboliai"/>
      <sheetName val="PRIEDAS_10__Elektra_SR"/>
      <sheetName val="PRIEDAS_11__Šiluma_SR"/>
    </sheetNames>
    <sheetDataSet>
      <sheetData sheetId="0" refreshError="1"/>
      <sheetData sheetId="1">
        <row r="6">
          <cell r="C6" t="str">
            <v>I.Nematerialus</v>
          </cell>
          <cell r="D6" t="str">
            <v>II.Materialus</v>
          </cell>
          <cell r="E6" t="str">
            <v>III.Investicinis</v>
          </cell>
          <cell r="F6" t="str">
            <v>IV.Kitas</v>
          </cell>
          <cell r="G6" t="str">
            <v>V.Koncesinis</v>
          </cell>
        </row>
        <row r="38">
          <cell r="E38" t="str">
            <v>Gamyba</v>
          </cell>
        </row>
        <row r="39">
          <cell r="E39" t="str">
            <v>Perdavimas</v>
          </cell>
        </row>
        <row r="40">
          <cell r="E40" t="str">
            <v>Mažmeninis_aptarnavimas</v>
          </cell>
        </row>
        <row r="41">
          <cell r="E41" t="str">
            <v>KV_tiekimas</v>
          </cell>
        </row>
        <row r="42">
          <cell r="E42" t="str">
            <v>Sistemų_priežiūra</v>
          </cell>
        </row>
        <row r="43">
          <cell r="E43" t="str">
            <v>ES_aplinkosauga</v>
          </cell>
        </row>
        <row r="44">
          <cell r="E44" t="str">
            <v>Kita_reguliuojama</v>
          </cell>
        </row>
        <row r="45">
          <cell r="E45" t="str">
            <v>Kita_nereguliuojama</v>
          </cell>
        </row>
        <row r="253">
          <cell r="C253" t="str">
            <v>TS</v>
          </cell>
        </row>
        <row r="254">
          <cell r="C254" t="str">
            <v>Paskirstymo_centras</v>
          </cell>
        </row>
        <row r="255">
          <cell r="C255" t="str">
            <v>Bendrosios sąnaudos</v>
          </cell>
        </row>
        <row r="261">
          <cell r="C261" t="str">
            <v>Ilgalaikis_turtas</v>
          </cell>
        </row>
        <row r="262">
          <cell r="C262" t="str">
            <v>Trumpalaikis_turtas</v>
          </cell>
        </row>
        <row r="263">
          <cell r="C263" t="str">
            <v>Nuosavas_kapitalas</v>
          </cell>
        </row>
        <row r="264">
          <cell r="C264" t="str">
            <v>Dotacijos_subsidijos</v>
          </cell>
        </row>
        <row r="265">
          <cell r="C265" t="str">
            <v>Įsipareigojimai</v>
          </cell>
        </row>
        <row r="266">
          <cell r="C266" t="str">
            <v>Pajamos</v>
          </cell>
        </row>
        <row r="267">
          <cell r="C267" t="str">
            <v>Sąnaudos</v>
          </cell>
        </row>
        <row r="299">
          <cell r="C299">
            <v>1</v>
          </cell>
        </row>
        <row r="300">
          <cell r="C300">
            <v>2</v>
          </cell>
        </row>
        <row r="301">
          <cell r="C301">
            <v>3</v>
          </cell>
        </row>
        <row r="302">
          <cell r="C302">
            <v>4</v>
          </cell>
        </row>
        <row r="303">
          <cell r="C303">
            <v>5</v>
          </cell>
        </row>
        <row r="616">
          <cell r="D616" t="str">
            <v>TS</v>
          </cell>
          <cell r="E616" t="str">
            <v>Šilumos gamyba</v>
          </cell>
        </row>
        <row r="617">
          <cell r="D617" t="str">
            <v>NS/BS</v>
          </cell>
          <cell r="E617" t="str">
            <v>Šilumos gamyba termofikacinėse jėgainėse</v>
          </cell>
        </row>
        <row r="618">
          <cell r="D618">
            <v>0</v>
          </cell>
          <cell r="E618" t="str">
            <v>Rezervinės galios užtikrinimas</v>
          </cell>
        </row>
        <row r="619">
          <cell r="E619" t="str">
            <v>Perdavimas</v>
          </cell>
        </row>
        <row r="620">
          <cell r="E620" t="str">
            <v>Balansavimas</v>
          </cell>
        </row>
        <row r="621">
          <cell r="E621" t="str">
            <v>Mažmeninis aptarnavimas</v>
          </cell>
        </row>
        <row r="622">
          <cell r="E622" t="str">
            <v>KV tiekimas</v>
          </cell>
        </row>
        <row r="623">
          <cell r="E623" t="str">
            <v>KV prietaisų aptarnavimas</v>
          </cell>
        </row>
        <row r="624">
          <cell r="E624" t="str">
            <v>Sistemų einamoji priežiūra</v>
          </cell>
        </row>
        <row r="625">
          <cell r="E625" t="str">
            <v>Sistemų rekonstrukcija</v>
          </cell>
        </row>
        <row r="626">
          <cell r="E626" t="str">
            <v>ES aplinkosaugos reikalavimai</v>
          </cell>
        </row>
        <row r="627">
          <cell r="E627" t="str">
            <v>Elektros gamyba</v>
          </cell>
        </row>
        <row r="628">
          <cell r="E628" t="str">
            <v>Kitos paslaugos</v>
          </cell>
        </row>
      </sheetData>
      <sheetData sheetId="2" refreshError="1"/>
      <sheetData sheetId="3" refreshError="1"/>
      <sheetData sheetId="4">
        <row r="9">
          <cell r="U9" t="str">
            <v>Visos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sg_viso_"/>
      <sheetName val="1. DK_grupes"/>
      <sheetName val="Pradžia"/>
      <sheetName val="_"/>
      <sheetName val="sg_viso_1"/>
      <sheetName val="naud_atl_"/>
      <sheetName val="el_en_g_"/>
      <sheetName val="išl_el_"/>
      <sheetName val="išl_el__G"/>
      <sheetName val="1__DK_grupes"/>
      <sheetName val="sg vi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radzia"/>
      <sheetName val="2.Atskaitomybe"/>
      <sheetName val="3.Grup_sanaudos"/>
      <sheetName val="4.Grup_Kastai"/>
      <sheetName val="5.Ataskaita"/>
      <sheetName val="6.Turtas"/>
      <sheetName val="7.Pajamos"/>
      <sheetName val="8.Nesikliai"/>
      <sheetName val="9.Kita"/>
      <sheetName val="Kontrole"/>
      <sheetName val="Suvestine"/>
      <sheetName val="Instrukcijos"/>
      <sheetName val="1.vardai"/>
      <sheetName val="2.nesikliai"/>
      <sheetName val="3.sanaudos"/>
      <sheetName val="4.pagr"/>
      <sheetName val="5.balansas"/>
      <sheetName val="6.procentai"/>
      <sheetName val="Ataskaitos --&gt;"/>
      <sheetName val="1"/>
      <sheetName val="2"/>
      <sheetName val="3"/>
      <sheetName val="4"/>
      <sheetName val="5-1"/>
      <sheetName val="5-2"/>
      <sheetName val="5-3"/>
      <sheetName val="5-5"/>
      <sheetName val="5-7"/>
      <sheetName val="5-8"/>
      <sheetName val="7"/>
      <sheetName val="8"/>
      <sheetName val="9"/>
      <sheetName val="10"/>
      <sheetName val="14"/>
      <sheetName val="15"/>
      <sheetName val="16"/>
      <sheetName val="17"/>
      <sheetName val="Nesikliai"/>
      <sheetName val="1_Pradzia"/>
      <sheetName val="2_Atskaitomybe"/>
      <sheetName val="3_Grup_sanaudos"/>
      <sheetName val="4_Grup_Kastai"/>
      <sheetName val="5_Ataskaita"/>
      <sheetName val="6_Turtas"/>
      <sheetName val="7_Pajamos"/>
      <sheetName val="8_Nesikliai"/>
      <sheetName val="9_Kita"/>
      <sheetName val="1_vardai"/>
      <sheetName val="2_nesikliai"/>
      <sheetName val="3_sanaudos"/>
      <sheetName val="4_pagr"/>
      <sheetName val="5_balansas"/>
      <sheetName val="6_procentai"/>
      <sheetName val="Ataskaitos_--&gt;"/>
      <sheetName val="gamyb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8">
          <cell r="H48" t="str">
            <v>0.Gamybos_šaltinis_AŠT</v>
          </cell>
        </row>
        <row r="105">
          <cell r="G105" t="str">
            <v>II.7.1.Nebaigta_statyba</v>
          </cell>
        </row>
        <row r="479">
          <cell r="C479" t="str">
            <v>I.Šilumos_įsigijimo_sąnaudos</v>
          </cell>
        </row>
        <row r="480">
          <cell r="C480" t="str">
            <v>II.Kuro_sąnaudos_energijai_gaminti</v>
          </cell>
        </row>
        <row r="481">
          <cell r="C481" t="str">
            <v>III.Elektros_energijos_technologinėms_reikmėms_įsigijimo_sąnaudos</v>
          </cell>
        </row>
        <row r="482">
          <cell r="C482" t="str">
            <v>IV.Vandens_technologinėms_reikmėms_įsigijimo_sąnaudos</v>
          </cell>
        </row>
        <row r="483">
          <cell r="C483" t="str">
            <v>IV1.Kitos_kintamosios_sąnaudos</v>
          </cell>
        </row>
        <row r="484">
          <cell r="C484" t="str">
            <v>V.Apyvartinių_taršos_leidimų_įsigijimo_sąnaudos</v>
          </cell>
        </row>
        <row r="485">
          <cell r="C485" t="str">
            <v>VI.Nusidėvėjimo_sąnaudos</v>
          </cell>
        </row>
        <row r="486">
          <cell r="C486" t="str">
            <v>VII.Einamojo_remonto_ir_aptarnavimo_sąnaudos</v>
          </cell>
        </row>
        <row r="487">
          <cell r="C487" t="str">
            <v>VIII.Personalo_sąnaudos</v>
          </cell>
        </row>
        <row r="488">
          <cell r="C488" t="str">
            <v>IX.Mokesčių_sąnaudos</v>
          </cell>
        </row>
        <row r="489">
          <cell r="C489" t="str">
            <v>X.Finansinės_sąnaudos</v>
          </cell>
        </row>
        <row r="490">
          <cell r="C490" t="str">
            <v>XI.Administracinės_sąnaudos</v>
          </cell>
        </row>
        <row r="491">
          <cell r="C491" t="str">
            <v>XII.Rinkodaros_ir_pardavimų_sąnaudos</v>
          </cell>
        </row>
        <row r="492">
          <cell r="C492" t="str">
            <v>XIII.Šilumos_ūkio_turto_nuomos,_koncesijos_sąnaudos</v>
          </cell>
        </row>
        <row r="493">
          <cell r="C493" t="str">
            <v>XIV.Kitos_paskirstomos_sąnaudos</v>
          </cell>
        </row>
        <row r="494">
          <cell r="C494" t="str">
            <v>XV.Nepaskirstomos_sąnaudos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row r="48">
          <cell r="H48" t="str">
            <v>0.Gamybos_šaltinis_AŠT</v>
          </cell>
        </row>
      </sheetData>
      <sheetData sheetId="48"/>
      <sheetData sheetId="49"/>
      <sheetData sheetId="50"/>
      <sheetData sheetId="51"/>
      <sheetData sheetId="52"/>
      <sheetData sheetId="53"/>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irkta"/>
      <sheetName val="PK"/>
      <sheetName val="MK"/>
      <sheetName val="rajone"/>
      <sheetName val="balansas"/>
      <sheetName val="naud.atl."/>
      <sheetName val="el.en.g."/>
      <sheetName val="išl.el."/>
      <sheetName val="tarif"/>
      <sheetName val="išl.el. G"/>
      <sheetName val="draudimai"/>
      <sheetName val="veiklos"/>
      <sheetName val="Janinai"/>
      <sheetName val="Sheet1"/>
      <sheetName val="sg_viso_"/>
      <sheetName val="sg viso"/>
      <sheetName val="sg_viso_1"/>
      <sheetName val="naud_atl_"/>
      <sheetName val="el_en_g_"/>
      <sheetName val="išl_el_"/>
      <sheetName val="išl_el__G"/>
      <sheetName val="sg_vi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kainos"/>
      <sheetName val="kainos"/>
      <sheetName val="suv"/>
      <sheetName val="gamybaB"/>
      <sheetName val="gamybaK"/>
      <sheetName val="gamybaG"/>
      <sheetName val="perdavimasK"/>
      <sheetName val="perdavimasG"/>
      <sheetName val="perdavimasB"/>
      <sheetName val="pardavimasK"/>
      <sheetName val="pardavimasG"/>
      <sheetName val="pardavimasB"/>
      <sheetName val="sg viso "/>
      <sheetName val="mieste"/>
      <sheetName val="elektrine"/>
      <sheetName val="KRK"/>
      <sheetName val="LRK"/>
      <sheetName val="PK"/>
      <sheetName val="MK"/>
      <sheetName val="rajone"/>
      <sheetName val="pirkta"/>
      <sheetName val="balansas"/>
      <sheetName val="naud.atl."/>
      <sheetName val="el.en.g."/>
      <sheetName val="išl.el."/>
      <sheetName val="tarif"/>
      <sheetName val="išl.el. G"/>
      <sheetName val="BŪĮ"/>
      <sheetName val="draudimai"/>
      <sheetName val="veiklos"/>
      <sheetName val="sg_viso_"/>
      <sheetName val="naud_atl_"/>
      <sheetName val="el_en_g_"/>
      <sheetName val="išl_el_"/>
      <sheetName val="išl_el__G"/>
      <sheetName val="sg viso"/>
      <sheetName val="bendra"/>
      <sheetName val="sg_viso_1"/>
      <sheetName val="naud_atl_1"/>
      <sheetName val="el_en_g_1"/>
      <sheetName val="išl_el_1"/>
      <sheetName val="išl_el__G1"/>
      <sheetName val="sg_vis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lists"/>
      <sheetName val="Pokyčiai"/>
      <sheetName val="Instrukcija"/>
      <sheetName val="Pradžia"/>
      <sheetName val="0.Nešikliai"/>
      <sheetName val="1.DK"/>
      <sheetName val="2.Turtas"/>
      <sheetName val="2a"/>
      <sheetName val="2b"/>
      <sheetName val="2^a"/>
      <sheetName val="2^b"/>
      <sheetName val="2^c"/>
      <sheetName val="3.Personalas"/>
      <sheetName val="3a"/>
      <sheetName val="4a.Būtinosios"/>
      <sheetName val="4b.Nebūtinosios"/>
      <sheetName val="5.Sąnaudos"/>
      <sheetName val="5a"/>
      <sheetName val="5b"/>
      <sheetName val="6.Kogeneracija"/>
      <sheetName val="6a"/>
      <sheetName val="7.Balansas"/>
      <sheetName val="PR1.Konsoliduota P(N)"/>
      <sheetName val="PR2.Konsoliduotas B"/>
      <sheetName val="PR3.Konsoliduotas JR"/>
      <sheetName val="PR4.IT ataskaita"/>
      <sheetName val="PR5.VV1"/>
      <sheetName val="PR5.VV2"/>
      <sheetName val="PR5.VV3"/>
      <sheetName val="PR5.VV4"/>
      <sheetName val="PR5.VV5"/>
      <sheetName val="PR5.VV6"/>
      <sheetName val="PR5.VV7"/>
      <sheetName val="PR5.VV8"/>
      <sheetName val="PRIEDAS 6. IT normatyvai"/>
      <sheetName val="PR7.Didzioji Knyga"/>
      <sheetName val="PR8.TS ataskaita"/>
      <sheetName val="PR9.NS ataskaita"/>
      <sheetName val="PR10.NS-PP ataskaita"/>
      <sheetName val="PR11.Kogeneracija"/>
      <sheetName val="PR12.Elektra SR"/>
      <sheetName val="PR13.Šiluma SR"/>
      <sheetName val="PR14.BS ataskaita"/>
      <sheetName val="PR15.Sanaudu ataskaita"/>
      <sheetName val="PRIEDAS 16. Būtinos sąnaudos"/>
      <sheetName val="PRIEDAS 17. Paslaugų ataskaita"/>
      <sheetName val="0_Nešikliai"/>
      <sheetName val="1_DK"/>
      <sheetName val="2_Turtas"/>
      <sheetName val="3_Personalas"/>
      <sheetName val="4a_Būtinosios"/>
      <sheetName val="4b_Nebūtinosios"/>
      <sheetName val="5_Sąnaudos"/>
      <sheetName val="6_Kogeneracija"/>
      <sheetName val="7_Balansas"/>
      <sheetName val="PR1_Konsoliduota_P(N)"/>
      <sheetName val="PR2_Konsoliduotas_B"/>
      <sheetName val="PR3_Konsoliduotas_JR"/>
      <sheetName val="PR4_IT_ataskaita"/>
      <sheetName val="PR5_VV1"/>
      <sheetName val="PR5_VV2"/>
      <sheetName val="PR5_VV3"/>
      <sheetName val="PR5_VV4"/>
      <sheetName val="PR5_VV5"/>
      <sheetName val="PR5_VV6"/>
      <sheetName val="PR5_VV7"/>
      <sheetName val="PR5_VV8"/>
      <sheetName val="PRIEDAS_6__IT_normatyvai"/>
      <sheetName val="PR7_Didzioji_Knyga"/>
      <sheetName val="PR8_TS_ataskaita"/>
      <sheetName val="PR9_NS_ataskaita"/>
      <sheetName val="PR10_NS-PP_ataskaita"/>
      <sheetName val="PR11_Kogeneracija"/>
      <sheetName val="PR12_Elektra_SR"/>
      <sheetName val="PR13_Šiluma_SR"/>
      <sheetName val="PR14_BS_ataskaita"/>
      <sheetName val="PR15_Sanaudu_ataskaita"/>
      <sheetName val="PRIEDAS_16__Būtinos_sąnaudos"/>
      <sheetName val="PRIEDAS_17__Paslaugų_ataskaita"/>
    </sheetNames>
    <sheetDataSet>
      <sheetData sheetId="0">
        <row r="6">
          <cell r="C6" t="str">
            <v>I.Nematerialus</v>
          </cell>
        </row>
        <row r="65">
          <cell r="C65" t="str">
            <v>Taip</v>
          </cell>
        </row>
        <row r="66">
          <cell r="C66" t="str">
            <v>Ne</v>
          </cell>
        </row>
      </sheetData>
      <sheetData sheetId="1" refreshError="1"/>
      <sheetData sheetId="2" refreshError="1"/>
      <sheetData sheetId="3">
        <row r="9">
          <cell r="U9" t="str">
            <v>Visos</v>
          </cell>
        </row>
      </sheetData>
      <sheetData sheetId="4"/>
      <sheetData sheetId="5" refreshError="1"/>
      <sheetData sheetId="6"/>
      <sheetData sheetId="7"/>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0.Pradžia"/>
      <sheetName val="1.DK"/>
      <sheetName val="2.Sąnaudos^"/>
      <sheetName val="2.Sąnaudos"/>
      <sheetName val="2a"/>
      <sheetName val="3.Turtas"/>
      <sheetName val="4.Personalas"/>
      <sheetName val="."/>
      <sheetName val="5.Balansas"/>
      <sheetName val="61100"/>
      <sheetName val="PR1.Konsoliduota P(N)"/>
      <sheetName val="PR2.Konsoliduotas B"/>
      <sheetName val="PR3.Konsoliduotas JR"/>
      <sheetName val="PR4.IT ataskaita"/>
      <sheetName val="PR5.VV1"/>
      <sheetName val="PR5.VV6"/>
      <sheetName val="PR5.VV8"/>
      <sheetName val="PRIEDAS 6. IT normatyvai"/>
      <sheetName val="PR7.Didzioji Knyga"/>
      <sheetName val="PR8.TS ataskaita"/>
      <sheetName val="PR9.NS ataskaita"/>
      <sheetName val="PR10.NS-PP ataskaita"/>
      <sheetName val="PR11.Kogeneracija"/>
      <sheetName val="PR12.Elektra SR"/>
      <sheetName val="PR13.Šiluma SR"/>
      <sheetName val="PR14.BS ataskaita"/>
      <sheetName val="PR15.Sanaudu ataskaita"/>
      <sheetName val="PRIEDAS 16. Būtinos sąnaudos"/>
      <sheetName val="PRIEDAS 17. Paslaugų ataskaita"/>
      <sheetName val="0_Pradžia"/>
      <sheetName val="1_DK"/>
      <sheetName val="2_Sąnaudos^"/>
      <sheetName val="2_Sąnaudos"/>
      <sheetName val="3_Turtas"/>
      <sheetName val="4_Personalas"/>
      <sheetName val="_"/>
      <sheetName val="5_Balansas"/>
      <sheetName val="PR1_Konsoliduota_P(N)"/>
      <sheetName val="PR2_Konsoliduotas_B"/>
      <sheetName val="PR3_Konsoliduotas_JR"/>
      <sheetName val="PR4_IT_ataskaita"/>
      <sheetName val="PR5_VV1"/>
      <sheetName val="PR5_VV6"/>
      <sheetName val="PR5_VV8"/>
      <sheetName val="PRIEDAS_6__IT_normatyvai"/>
      <sheetName val="PR7_Didzioji_Knyga"/>
      <sheetName val="PR8_TS_ataskaita"/>
      <sheetName val="PR9_NS_ataskaita"/>
      <sheetName val="PR10_NS-PP_ataskaita"/>
      <sheetName val="PR11_Kogeneracija"/>
      <sheetName val="PR12_Elektra_SR"/>
      <sheetName val="PR13_Šiluma_SR"/>
      <sheetName val="PR14_BS_ataskaita"/>
      <sheetName val="PR15_Sanaudu_ataskaita"/>
      <sheetName val="PRIEDAS_16__Būtinos_sąnaudos"/>
      <sheetName val="PRIEDAS_17__Paslaugų_ataskaita"/>
    </sheetNames>
    <sheetDataSet>
      <sheetData sheetId="0">
        <row r="4">
          <cell r="B4" t="str">
            <v>Gamyba</v>
          </cell>
          <cell r="C4" t="str">
            <v>Šiluma</v>
          </cell>
        </row>
        <row r="5">
          <cell r="C5" t="str">
            <v>Rezervas</v>
          </cell>
        </row>
        <row r="6">
          <cell r="C6" t="str">
            <v>ATL</v>
          </cell>
        </row>
        <row r="7">
          <cell r="C7" t="str">
            <v>Garas_technologijai</v>
          </cell>
        </row>
        <row r="8">
          <cell r="C8" t="str">
            <v>Perteklinė_galia</v>
          </cell>
        </row>
        <row r="9">
          <cell r="C9" t="str">
            <v>Kitos_paslaugos</v>
          </cell>
        </row>
        <row r="41">
          <cell r="B41">
            <v>101</v>
          </cell>
        </row>
        <row r="42">
          <cell r="B42">
            <v>102</v>
          </cell>
        </row>
        <row r="43">
          <cell r="B43">
            <v>201</v>
          </cell>
        </row>
        <row r="44">
          <cell r="B44">
            <v>202</v>
          </cell>
        </row>
        <row r="45">
          <cell r="B45">
            <v>203</v>
          </cell>
        </row>
        <row r="46">
          <cell r="B46">
            <v>204</v>
          </cell>
        </row>
        <row r="47">
          <cell r="B47">
            <v>205</v>
          </cell>
        </row>
        <row r="48">
          <cell r="B48">
            <v>301</v>
          </cell>
        </row>
        <row r="49">
          <cell r="B49">
            <v>302</v>
          </cell>
        </row>
        <row r="50">
          <cell r="B50">
            <v>401</v>
          </cell>
        </row>
        <row r="51">
          <cell r="B51">
            <v>402</v>
          </cell>
        </row>
        <row r="52">
          <cell r="B52">
            <v>501</v>
          </cell>
        </row>
        <row r="53">
          <cell r="B53">
            <v>502</v>
          </cell>
        </row>
        <row r="54">
          <cell r="B54">
            <v>601</v>
          </cell>
        </row>
        <row r="55">
          <cell r="B55">
            <v>602</v>
          </cell>
        </row>
        <row r="56">
          <cell r="B56">
            <v>603</v>
          </cell>
        </row>
        <row r="57">
          <cell r="B57">
            <v>604</v>
          </cell>
        </row>
        <row r="58">
          <cell r="B58">
            <v>605</v>
          </cell>
        </row>
        <row r="59">
          <cell r="B59">
            <v>606</v>
          </cell>
        </row>
        <row r="60">
          <cell r="B60">
            <v>607</v>
          </cell>
        </row>
        <row r="61">
          <cell r="B61">
            <v>608</v>
          </cell>
        </row>
        <row r="62">
          <cell r="B62">
            <v>609</v>
          </cell>
        </row>
        <row r="63">
          <cell r="B63">
            <v>610</v>
          </cell>
        </row>
        <row r="64">
          <cell r="B64">
            <v>611</v>
          </cell>
        </row>
        <row r="65">
          <cell r="B65">
            <v>612</v>
          </cell>
        </row>
        <row r="66">
          <cell r="B66">
            <v>613</v>
          </cell>
        </row>
        <row r="67">
          <cell r="B67">
            <v>614</v>
          </cell>
        </row>
        <row r="68">
          <cell r="B68">
            <v>615</v>
          </cell>
        </row>
        <row r="69">
          <cell r="B69">
            <v>616</v>
          </cell>
        </row>
        <row r="70">
          <cell r="B70">
            <v>617</v>
          </cell>
        </row>
        <row r="71">
          <cell r="B71">
            <v>618</v>
          </cell>
        </row>
        <row r="72">
          <cell r="B72">
            <v>619</v>
          </cell>
        </row>
        <row r="73">
          <cell r="B73">
            <v>620</v>
          </cell>
        </row>
        <row r="74">
          <cell r="B74">
            <v>621</v>
          </cell>
        </row>
        <row r="75">
          <cell r="B75">
            <v>622</v>
          </cell>
        </row>
        <row r="76">
          <cell r="B76">
            <v>623</v>
          </cell>
        </row>
        <row r="77">
          <cell r="B77">
            <v>624</v>
          </cell>
        </row>
        <row r="78">
          <cell r="B78">
            <v>625</v>
          </cell>
        </row>
        <row r="79">
          <cell r="B79">
            <v>626</v>
          </cell>
        </row>
        <row r="80">
          <cell r="B80">
            <v>627</v>
          </cell>
        </row>
        <row r="81">
          <cell r="B81">
            <v>701</v>
          </cell>
        </row>
        <row r="82">
          <cell r="B82">
            <v>702</v>
          </cell>
        </row>
        <row r="83">
          <cell r="B83">
            <v>703</v>
          </cell>
        </row>
        <row r="84">
          <cell r="B84">
            <v>704</v>
          </cell>
        </row>
        <row r="85">
          <cell r="B85">
            <v>705</v>
          </cell>
        </row>
        <row r="86">
          <cell r="B86">
            <v>706</v>
          </cell>
        </row>
        <row r="87">
          <cell r="B87">
            <v>707</v>
          </cell>
        </row>
        <row r="88">
          <cell r="B88">
            <v>708</v>
          </cell>
        </row>
        <row r="89">
          <cell r="B89">
            <v>709</v>
          </cell>
        </row>
        <row r="90">
          <cell r="B90">
            <v>710</v>
          </cell>
        </row>
        <row r="91">
          <cell r="B91">
            <v>711</v>
          </cell>
        </row>
        <row r="92">
          <cell r="B92">
            <v>712</v>
          </cell>
        </row>
        <row r="93">
          <cell r="B93">
            <v>713</v>
          </cell>
        </row>
        <row r="94">
          <cell r="B94">
            <v>714</v>
          </cell>
        </row>
        <row r="95">
          <cell r="B95">
            <v>715</v>
          </cell>
        </row>
        <row r="96">
          <cell r="B96">
            <v>716</v>
          </cell>
        </row>
        <row r="97">
          <cell r="B97">
            <v>717</v>
          </cell>
        </row>
        <row r="98">
          <cell r="B98">
            <v>718</v>
          </cell>
        </row>
        <row r="99">
          <cell r="B99">
            <v>719</v>
          </cell>
        </row>
        <row r="100">
          <cell r="B100">
            <v>720</v>
          </cell>
        </row>
        <row r="101">
          <cell r="B101">
            <v>721</v>
          </cell>
        </row>
        <row r="102">
          <cell r="B102">
            <v>722</v>
          </cell>
        </row>
        <row r="103">
          <cell r="B103">
            <v>801</v>
          </cell>
        </row>
        <row r="104">
          <cell r="B104">
            <v>802</v>
          </cell>
        </row>
        <row r="105">
          <cell r="B105">
            <v>803</v>
          </cell>
        </row>
        <row r="106">
          <cell r="B106">
            <v>804</v>
          </cell>
        </row>
        <row r="107">
          <cell r="B107">
            <v>805</v>
          </cell>
        </row>
        <row r="108">
          <cell r="B108">
            <v>806</v>
          </cell>
        </row>
        <row r="109">
          <cell r="B109">
            <v>807</v>
          </cell>
        </row>
        <row r="110">
          <cell r="B110">
            <v>808</v>
          </cell>
        </row>
        <row r="111">
          <cell r="B111">
            <v>809</v>
          </cell>
        </row>
        <row r="112">
          <cell r="B112">
            <v>901</v>
          </cell>
        </row>
        <row r="113">
          <cell r="B113">
            <v>902</v>
          </cell>
        </row>
        <row r="114">
          <cell r="B114">
            <v>903</v>
          </cell>
        </row>
        <row r="115">
          <cell r="B115">
            <v>904</v>
          </cell>
        </row>
        <row r="116">
          <cell r="B116">
            <v>905</v>
          </cell>
        </row>
        <row r="117">
          <cell r="B117">
            <v>906</v>
          </cell>
        </row>
        <row r="118">
          <cell r="B118">
            <v>907</v>
          </cell>
        </row>
        <row r="119">
          <cell r="B119">
            <v>1001</v>
          </cell>
        </row>
        <row r="120">
          <cell r="B120">
            <v>1002</v>
          </cell>
        </row>
        <row r="121">
          <cell r="B121">
            <v>1003</v>
          </cell>
        </row>
        <row r="122">
          <cell r="B122">
            <v>1004</v>
          </cell>
        </row>
        <row r="123">
          <cell r="B123">
            <v>1101</v>
          </cell>
        </row>
        <row r="124">
          <cell r="B124">
            <v>1102</v>
          </cell>
        </row>
        <row r="125">
          <cell r="B125">
            <v>1103</v>
          </cell>
        </row>
        <row r="126">
          <cell r="B126">
            <v>1104</v>
          </cell>
        </row>
        <row r="127">
          <cell r="B127">
            <v>1105</v>
          </cell>
        </row>
        <row r="128">
          <cell r="B128">
            <v>1106</v>
          </cell>
        </row>
        <row r="129">
          <cell r="B129">
            <v>1107</v>
          </cell>
        </row>
        <row r="130">
          <cell r="B130">
            <v>1108</v>
          </cell>
        </row>
        <row r="131">
          <cell r="B131">
            <v>1109</v>
          </cell>
        </row>
        <row r="132">
          <cell r="B132">
            <v>1110</v>
          </cell>
        </row>
        <row r="133">
          <cell r="B133">
            <v>1201</v>
          </cell>
        </row>
        <row r="134">
          <cell r="B134">
            <v>1202</v>
          </cell>
        </row>
        <row r="135">
          <cell r="B135">
            <v>1203</v>
          </cell>
        </row>
        <row r="136">
          <cell r="B136">
            <v>1204</v>
          </cell>
        </row>
        <row r="137">
          <cell r="B137">
            <v>1205</v>
          </cell>
        </row>
        <row r="138">
          <cell r="B138">
            <v>1206</v>
          </cell>
        </row>
        <row r="139">
          <cell r="B139">
            <v>1207</v>
          </cell>
        </row>
        <row r="140">
          <cell r="B140">
            <v>1208</v>
          </cell>
        </row>
        <row r="141">
          <cell r="B141">
            <v>1301</v>
          </cell>
        </row>
        <row r="142">
          <cell r="B142">
            <v>1302</v>
          </cell>
        </row>
        <row r="143">
          <cell r="B143">
            <v>1401</v>
          </cell>
        </row>
        <row r="144">
          <cell r="B144">
            <v>1402</v>
          </cell>
        </row>
        <row r="145">
          <cell r="B145">
            <v>1403</v>
          </cell>
        </row>
        <row r="146">
          <cell r="B146">
            <v>1404</v>
          </cell>
        </row>
        <row r="147">
          <cell r="B147">
            <v>1405</v>
          </cell>
        </row>
        <row r="148">
          <cell r="B148">
            <v>1406</v>
          </cell>
        </row>
        <row r="149">
          <cell r="B149">
            <v>1407</v>
          </cell>
        </row>
        <row r="150">
          <cell r="B150">
            <v>1408</v>
          </cell>
        </row>
        <row r="151">
          <cell r="B151">
            <v>1501</v>
          </cell>
        </row>
        <row r="152">
          <cell r="B152">
            <v>1502</v>
          </cell>
        </row>
        <row r="153">
          <cell r="B153">
            <v>1503</v>
          </cell>
        </row>
        <row r="154">
          <cell r="B154">
            <v>1504</v>
          </cell>
        </row>
        <row r="155">
          <cell r="B155">
            <v>1505</v>
          </cell>
        </row>
        <row r="161">
          <cell r="C161" t="str">
            <v>I.Šilumos_įsigijimo_sąnaudos</v>
          </cell>
        </row>
        <row r="162">
          <cell r="C162" t="str">
            <v>II.Kuro_sąnaudos_energijai_gaminti</v>
          </cell>
        </row>
        <row r="163">
          <cell r="C163" t="str">
            <v>III.Elektros_energijos_technologinėms_reikmėms_įsigijimo_sąnaudos</v>
          </cell>
        </row>
        <row r="164">
          <cell r="C164" t="str">
            <v>IV.Vandens_technologinėms_reikmėms_įsigijimo_sąnaudos</v>
          </cell>
        </row>
        <row r="165">
          <cell r="C165" t="str">
            <v>V.Apyvartinių_taršos_leidimų_įsigijimo_sąnaudos</v>
          </cell>
        </row>
        <row r="166">
          <cell r="C166" t="str">
            <v>VI.Nusidėvėjimo_sąnaudos</v>
          </cell>
        </row>
        <row r="167">
          <cell r="C167" t="str">
            <v>VII.Einamojo_remonto_ir_aptarnavimo_sąnaudos</v>
          </cell>
        </row>
        <row r="168">
          <cell r="C168" t="str">
            <v>VIII.Personalo_sąnaudos</v>
          </cell>
        </row>
        <row r="169">
          <cell r="C169" t="str">
            <v>IX.Mokesčių_sąnaudos</v>
          </cell>
        </row>
        <row r="170">
          <cell r="C170" t="str">
            <v>X.Finansinės_sąnaudos</v>
          </cell>
        </row>
        <row r="171">
          <cell r="C171" t="str">
            <v>XI.Administracinės_sąnaudos</v>
          </cell>
        </row>
        <row r="172">
          <cell r="C172" t="str">
            <v>XII.Rinkodaros_ir_pardavimų_sąnaudos</v>
          </cell>
        </row>
        <row r="173">
          <cell r="C173" t="str">
            <v>XIII.Šilumos_ūkio_turto_nuomos,_koncesijos_sąnaudos</v>
          </cell>
        </row>
        <row r="174">
          <cell r="C174" t="str">
            <v>XIV.Kitos_paskirstomos_sąnaudos</v>
          </cell>
        </row>
        <row r="175">
          <cell r="C175" t="str">
            <v>XV.Nepaskirstomos_sąnaudos</v>
          </cell>
        </row>
      </sheetData>
      <sheetData sheetId="1">
        <row r="24">
          <cell r="O24" t="str">
            <v>I.Šiluma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4">
          <cell r="O24" t="str">
            <v>I.Šiluma</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FA5FB-C220-46A3-99B4-1B8F1BA1F23B}">
  <sheetPr>
    <tabColor theme="0" tint="-0.14999847407452621"/>
  </sheetPr>
  <dimension ref="C2:E25"/>
  <sheetViews>
    <sheetView showGridLines="0" workbookViewId="0">
      <selection activeCell="D5" sqref="D5"/>
    </sheetView>
  </sheetViews>
  <sheetFormatPr defaultRowHeight="14.4"/>
  <cols>
    <col min="3" max="3" width="10.109375" customWidth="1"/>
    <col min="4" max="4" width="58.109375" customWidth="1"/>
    <col min="5" max="5" width="25.88671875" customWidth="1"/>
    <col min="6" max="6" width="31.109375" customWidth="1"/>
  </cols>
  <sheetData>
    <row r="2" spans="3:5" ht="60">
      <c r="E2" s="1" t="s">
        <v>0</v>
      </c>
    </row>
    <row r="3" spans="3:5" ht="46.8">
      <c r="C3" s="1"/>
      <c r="D3" s="2" t="s">
        <v>1</v>
      </c>
    </row>
    <row r="4" spans="3:5" ht="15" thickBot="1"/>
    <row r="5" spans="3:5" ht="15" thickBot="1">
      <c r="C5" s="3" t="s">
        <v>2</v>
      </c>
      <c r="D5" s="3" t="s">
        <v>3</v>
      </c>
      <c r="E5" s="4" t="s">
        <v>4</v>
      </c>
    </row>
    <row r="6" spans="3:5">
      <c r="C6" s="5" t="s">
        <v>5</v>
      </c>
      <c r="D6" s="6" t="s">
        <v>6</v>
      </c>
      <c r="E6" s="7"/>
    </row>
    <row r="7" spans="3:5">
      <c r="C7" s="5" t="s">
        <v>7</v>
      </c>
      <c r="D7" s="8" t="s">
        <v>8</v>
      </c>
      <c r="E7" s="5">
        <v>4</v>
      </c>
    </row>
    <row r="8" spans="3:5">
      <c r="C8" s="5" t="s">
        <v>7</v>
      </c>
      <c r="D8" s="8" t="s">
        <v>9</v>
      </c>
      <c r="E8" s="9" t="s">
        <v>10</v>
      </c>
    </row>
    <row r="9" spans="3:5" ht="15" thickBot="1">
      <c r="C9" s="10" t="s">
        <v>7</v>
      </c>
      <c r="D9" s="11" t="s">
        <v>11</v>
      </c>
      <c r="E9" s="10" t="s">
        <v>10</v>
      </c>
    </row>
    <row r="10" spans="3:5">
      <c r="C10" s="12" t="s">
        <v>12</v>
      </c>
      <c r="D10" s="13" t="s">
        <v>13</v>
      </c>
      <c r="E10" s="12"/>
    </row>
    <row r="11" spans="3:5">
      <c r="C11" s="14" t="s">
        <v>14</v>
      </c>
      <c r="D11" s="15" t="s">
        <v>15</v>
      </c>
      <c r="E11" s="14" t="s">
        <v>16</v>
      </c>
    </row>
    <row r="12" spans="3:5">
      <c r="C12" s="16" t="s">
        <v>17</v>
      </c>
      <c r="D12" s="17" t="s">
        <v>18</v>
      </c>
      <c r="E12" s="16" t="s">
        <v>19</v>
      </c>
    </row>
    <row r="13" spans="3:5">
      <c r="C13" s="5" t="s">
        <v>20</v>
      </c>
      <c r="D13" s="18" t="s">
        <v>21</v>
      </c>
      <c r="E13" s="5">
        <v>50</v>
      </c>
    </row>
    <row r="14" spans="3:5" ht="53.4" thickBot="1">
      <c r="C14" s="10" t="s">
        <v>22</v>
      </c>
      <c r="D14" s="19" t="s">
        <v>23</v>
      </c>
      <c r="E14" s="10">
        <v>35</v>
      </c>
    </row>
    <row r="15" spans="3:5">
      <c r="C15" s="12" t="s">
        <v>24</v>
      </c>
      <c r="D15" s="13" t="s">
        <v>25</v>
      </c>
      <c r="E15" s="12"/>
    </row>
    <row r="16" spans="3:5" ht="52.8">
      <c r="C16" s="10" t="s">
        <v>26</v>
      </c>
      <c r="D16" s="19" t="s">
        <v>27</v>
      </c>
      <c r="E16" s="10">
        <v>10</v>
      </c>
    </row>
    <row r="17" spans="3:5" ht="15" thickBot="1">
      <c r="C17" s="20" t="s">
        <v>28</v>
      </c>
      <c r="D17" s="21" t="s">
        <v>29</v>
      </c>
      <c r="E17" s="20">
        <v>5</v>
      </c>
    </row>
    <row r="18" spans="3:5">
      <c r="C18" s="12" t="s">
        <v>30</v>
      </c>
      <c r="D18" s="13" t="s">
        <v>31</v>
      </c>
      <c r="E18" s="12"/>
    </row>
    <row r="19" spans="3:5">
      <c r="C19" s="10" t="s">
        <v>32</v>
      </c>
      <c r="D19" s="18" t="s">
        <v>33</v>
      </c>
      <c r="E19" s="22">
        <v>6</v>
      </c>
    </row>
    <row r="20" spans="3:5" ht="27" thickBot="1">
      <c r="C20" s="5" t="s">
        <v>34</v>
      </c>
      <c r="D20" s="19" t="s">
        <v>35</v>
      </c>
      <c r="E20" s="5">
        <v>6</v>
      </c>
    </row>
    <row r="21" spans="3:5">
      <c r="C21" s="12" t="s">
        <v>36</v>
      </c>
      <c r="D21" s="13" t="s">
        <v>37</v>
      </c>
      <c r="E21" s="23"/>
    </row>
    <row r="22" spans="3:5">
      <c r="C22" s="5" t="s">
        <v>38</v>
      </c>
      <c r="D22" s="8" t="s">
        <v>39</v>
      </c>
      <c r="E22" s="5">
        <v>7</v>
      </c>
    </row>
    <row r="23" spans="3:5" ht="27" thickBot="1">
      <c r="C23" s="20" t="s">
        <v>40</v>
      </c>
      <c r="D23" s="24" t="s">
        <v>41</v>
      </c>
      <c r="E23" s="20">
        <v>10</v>
      </c>
    </row>
    <row r="24" spans="3:5">
      <c r="C24" s="25"/>
      <c r="E24" s="26"/>
    </row>
    <row r="25" spans="3:5">
      <c r="D25" s="27"/>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6BDAD-162F-468A-BDDD-A53A50A093E1}">
  <sheetPr>
    <tabColor theme="0" tint="-0.14999847407452621"/>
  </sheetPr>
  <dimension ref="A1:G42"/>
  <sheetViews>
    <sheetView showGridLines="0" topLeftCell="B4" workbookViewId="0">
      <selection activeCell="C17" sqref="C17"/>
    </sheetView>
  </sheetViews>
  <sheetFormatPr defaultRowHeight="14.4"/>
  <cols>
    <col min="2" max="2" width="6.6640625" customWidth="1"/>
    <col min="3" max="3" width="88.5546875" customWidth="1"/>
    <col min="4" max="4" width="17.33203125" customWidth="1"/>
    <col min="5" max="6" width="24" customWidth="1"/>
    <col min="7" max="7" width="29.109375" customWidth="1"/>
  </cols>
  <sheetData>
    <row r="1" spans="1:7">
      <c r="A1" s="578"/>
      <c r="B1" s="578"/>
      <c r="C1" s="578"/>
      <c r="D1" s="578"/>
      <c r="E1" s="578"/>
      <c r="F1" s="578"/>
      <c r="G1" s="578"/>
    </row>
    <row r="2" spans="1:7" ht="48">
      <c r="A2" s="578"/>
      <c r="B2" s="578"/>
      <c r="C2" s="578"/>
      <c r="D2" s="578"/>
      <c r="E2" s="578"/>
      <c r="F2" s="578"/>
      <c r="G2" s="1" t="s">
        <v>1135</v>
      </c>
    </row>
    <row r="3" spans="1:7">
      <c r="A3" s="578"/>
      <c r="B3" s="578"/>
      <c r="C3" s="28" t="s">
        <v>1262</v>
      </c>
      <c r="D3" s="578"/>
      <c r="E3" s="578"/>
      <c r="F3" s="578"/>
      <c r="G3" s="578"/>
    </row>
    <row r="4" spans="1:7">
      <c r="A4" s="578"/>
      <c r="B4" s="578"/>
      <c r="C4" s="28" t="s">
        <v>1357</v>
      </c>
      <c r="D4" s="578"/>
      <c r="E4" s="578"/>
      <c r="F4" s="578"/>
      <c r="G4" s="578"/>
    </row>
    <row r="5" spans="1:7">
      <c r="A5" s="578"/>
      <c r="B5" s="578"/>
      <c r="C5" s="578"/>
      <c r="D5" s="578"/>
      <c r="E5" s="578"/>
      <c r="F5" s="578"/>
      <c r="G5" s="578"/>
    </row>
    <row r="6" spans="1:7">
      <c r="A6" s="578"/>
      <c r="B6" s="578"/>
      <c r="C6" s="1133" t="s">
        <v>1136</v>
      </c>
      <c r="D6" s="578"/>
      <c r="E6" s="578"/>
      <c r="F6" s="578"/>
      <c r="G6" s="578"/>
    </row>
    <row r="7" spans="1:7" ht="15" thickBot="1">
      <c r="A7" s="578"/>
      <c r="B7" s="578"/>
      <c r="C7" s="578"/>
      <c r="D7" s="578"/>
      <c r="E7" s="578"/>
      <c r="F7" s="578"/>
      <c r="G7" s="578"/>
    </row>
    <row r="8" spans="1:7" ht="15" thickBot="1">
      <c r="A8" s="578"/>
      <c r="B8" s="1134" t="s">
        <v>2</v>
      </c>
      <c r="C8" s="1135" t="s">
        <v>1137</v>
      </c>
      <c r="D8" s="1136" t="s">
        <v>679</v>
      </c>
      <c r="E8" s="1326" t="s">
        <v>46</v>
      </c>
      <c r="F8" s="1327"/>
      <c r="G8" s="1137" t="s">
        <v>1138</v>
      </c>
    </row>
    <row r="9" spans="1:7" ht="27" thickBot="1">
      <c r="A9" s="578"/>
      <c r="B9" s="1134"/>
      <c r="C9" s="1135"/>
      <c r="D9" s="1136"/>
      <c r="E9" s="1138" t="s">
        <v>1139</v>
      </c>
      <c r="F9" s="1136" t="s">
        <v>1140</v>
      </c>
      <c r="G9" s="1137"/>
    </row>
    <row r="10" spans="1:7" ht="15" thickBot="1">
      <c r="A10" s="578"/>
      <c r="B10" s="1135" t="s">
        <v>1141</v>
      </c>
      <c r="C10" s="1135" t="s">
        <v>1142</v>
      </c>
      <c r="D10" s="1135" t="s">
        <v>800</v>
      </c>
      <c r="E10" s="1139">
        <f>E11+E25</f>
        <v>37.416666666666657</v>
      </c>
      <c r="F10" s="1139">
        <f>F11+F25</f>
        <v>37.333333333333321</v>
      </c>
      <c r="G10" s="1137"/>
    </row>
    <row r="11" spans="1:7" ht="15" thickBot="1">
      <c r="A11" s="578"/>
      <c r="B11" s="1140" t="s">
        <v>1143</v>
      </c>
      <c r="C11" s="1140" t="s">
        <v>1144</v>
      </c>
      <c r="D11" s="1140" t="s">
        <v>800</v>
      </c>
      <c r="E11" s="1141">
        <f>E13+E17+E21+E22+E23+E24</f>
        <v>36.61666666666666</v>
      </c>
      <c r="F11" s="1141">
        <f>F13+F17+F21+F22+F23+F24</f>
        <v>36.533333333333324</v>
      </c>
      <c r="G11" s="1142"/>
    </row>
    <row r="12" spans="1:7" ht="15" thickBot="1">
      <c r="A12" s="578"/>
      <c r="B12" s="1143" t="s">
        <v>1145</v>
      </c>
      <c r="C12" s="1143" t="s">
        <v>1146</v>
      </c>
      <c r="D12" s="1143" t="s">
        <v>800</v>
      </c>
      <c r="E12" s="1144">
        <f>E13+E17+E22+E21</f>
        <v>16.800000000000004</v>
      </c>
      <c r="F12" s="1144">
        <f>F13+F17+F22+F21</f>
        <v>16.8</v>
      </c>
      <c r="G12" s="1145"/>
    </row>
    <row r="13" spans="1:7">
      <c r="A13" s="578"/>
      <c r="B13" s="1146" t="s">
        <v>130</v>
      </c>
      <c r="C13" s="1146" t="s">
        <v>1147</v>
      </c>
      <c r="D13" s="1147" t="s">
        <v>800</v>
      </c>
      <c r="E13" s="1148">
        <f>SUM(E14:E16)</f>
        <v>5.9</v>
      </c>
      <c r="F13" s="1148">
        <f>SUM(F14:F16)</f>
        <v>5.8599999999999994</v>
      </c>
      <c r="G13" s="1149"/>
    </row>
    <row r="14" spans="1:7">
      <c r="A14" s="578"/>
      <c r="B14" s="1150" t="s">
        <v>1148</v>
      </c>
      <c r="C14" s="1151" t="s">
        <v>1149</v>
      </c>
      <c r="D14" s="1150" t="s">
        <v>800</v>
      </c>
      <c r="E14" s="1152">
        <v>3</v>
      </c>
      <c r="F14" s="1152">
        <v>2.96</v>
      </c>
      <c r="G14" s="1153"/>
    </row>
    <row r="15" spans="1:7">
      <c r="A15" s="578"/>
      <c r="B15" s="1150" t="s">
        <v>1150</v>
      </c>
      <c r="C15" s="1151" t="s">
        <v>1151</v>
      </c>
      <c r="D15" s="1150" t="s">
        <v>800</v>
      </c>
      <c r="E15" s="1152">
        <v>0</v>
      </c>
      <c r="F15" s="1152">
        <v>0</v>
      </c>
      <c r="G15" s="1153"/>
    </row>
    <row r="16" spans="1:7" ht="15" thickBot="1">
      <c r="A16" s="578"/>
      <c r="B16" s="1154" t="s">
        <v>1152</v>
      </c>
      <c r="C16" s="1155" t="s">
        <v>1153</v>
      </c>
      <c r="D16" s="1154" t="s">
        <v>800</v>
      </c>
      <c r="E16" s="1156">
        <v>2.9</v>
      </c>
      <c r="F16" s="1156">
        <v>2.9</v>
      </c>
      <c r="G16" s="1157"/>
    </row>
    <row r="17" spans="1:7" ht="41.4">
      <c r="A17" s="578"/>
      <c r="B17" s="1158" t="s">
        <v>132</v>
      </c>
      <c r="C17" s="1158" t="s">
        <v>1154</v>
      </c>
      <c r="D17" s="1159" t="s">
        <v>800</v>
      </c>
      <c r="E17" s="1160">
        <f>SUM(E18:E20)</f>
        <v>8.8000000000000007</v>
      </c>
      <c r="F17" s="1160">
        <f>SUM(F18:F20)</f>
        <v>8.879999999999999</v>
      </c>
      <c r="G17" s="1161"/>
    </row>
    <row r="18" spans="1:7">
      <c r="A18" s="578"/>
      <c r="B18" s="1150" t="s">
        <v>1155</v>
      </c>
      <c r="C18" s="1151" t="s">
        <v>1156</v>
      </c>
      <c r="D18" s="1150" t="s">
        <v>800</v>
      </c>
      <c r="E18" s="1152">
        <v>2.8</v>
      </c>
      <c r="F18" s="1152">
        <v>2.88</v>
      </c>
      <c r="G18" s="1153"/>
    </row>
    <row r="19" spans="1:7">
      <c r="A19" s="578"/>
      <c r="B19" s="1150" t="s">
        <v>1157</v>
      </c>
      <c r="C19" s="1151" t="s">
        <v>1158</v>
      </c>
      <c r="D19" s="1150" t="s">
        <v>800</v>
      </c>
      <c r="E19" s="1152">
        <v>4</v>
      </c>
      <c r="F19" s="1152">
        <v>4</v>
      </c>
      <c r="G19" s="1153"/>
    </row>
    <row r="20" spans="1:7" ht="15" thickBot="1">
      <c r="A20" s="578"/>
      <c r="B20" s="1150" t="s">
        <v>1159</v>
      </c>
      <c r="C20" s="1151" t="s">
        <v>1160</v>
      </c>
      <c r="D20" s="1150" t="s">
        <v>800</v>
      </c>
      <c r="E20" s="1152">
        <v>2</v>
      </c>
      <c r="F20" s="1152">
        <v>2</v>
      </c>
      <c r="G20" s="1153"/>
    </row>
    <row r="21" spans="1:7" ht="15" thickBot="1">
      <c r="A21" s="578"/>
      <c r="B21" s="1162" t="s">
        <v>134</v>
      </c>
      <c r="C21" s="1162" t="s">
        <v>1161</v>
      </c>
      <c r="D21" s="1163" t="s">
        <v>800</v>
      </c>
      <c r="E21" s="1164">
        <v>0.1</v>
      </c>
      <c r="F21" s="1164">
        <v>0.1</v>
      </c>
      <c r="G21" s="1137"/>
    </row>
    <row r="22" spans="1:7" ht="15" thickBot="1">
      <c r="A22" s="578"/>
      <c r="B22" s="1162" t="s">
        <v>1162</v>
      </c>
      <c r="C22" s="1165" t="s">
        <v>1163</v>
      </c>
      <c r="D22" s="1162" t="s">
        <v>800</v>
      </c>
      <c r="E22" s="1164">
        <v>2</v>
      </c>
      <c r="F22" s="1164">
        <v>1.96</v>
      </c>
      <c r="G22" s="1137"/>
    </row>
    <row r="23" spans="1:7" ht="15" thickBot="1">
      <c r="A23" s="578"/>
      <c r="B23" s="1135" t="s">
        <v>1164</v>
      </c>
      <c r="C23" s="1135" t="s">
        <v>1165</v>
      </c>
      <c r="D23" s="1135" t="s">
        <v>800</v>
      </c>
      <c r="E23" s="1164">
        <v>9.9833333333333307</v>
      </c>
      <c r="F23" s="1164">
        <v>9.9</v>
      </c>
      <c r="G23" s="1137"/>
    </row>
    <row r="24" spans="1:7" ht="15" thickBot="1">
      <c r="A24" s="578"/>
      <c r="B24" s="1135" t="s">
        <v>296</v>
      </c>
      <c r="C24" s="1166" t="s">
        <v>1166</v>
      </c>
      <c r="D24" s="1135" t="s">
        <v>800</v>
      </c>
      <c r="E24" s="1164">
        <v>9.8333333333333304</v>
      </c>
      <c r="F24" s="1164">
        <v>9.8333333333333304</v>
      </c>
      <c r="G24" s="1137"/>
    </row>
    <row r="25" spans="1:7" ht="15" thickBot="1">
      <c r="A25" s="578"/>
      <c r="B25" s="1143" t="s">
        <v>1167</v>
      </c>
      <c r="C25" s="1143" t="s">
        <v>1168</v>
      </c>
      <c r="D25" s="1143" t="s">
        <v>800</v>
      </c>
      <c r="E25" s="1167">
        <v>0.8</v>
      </c>
      <c r="F25" s="1167">
        <v>0.8</v>
      </c>
      <c r="G25" s="1145"/>
    </row>
    <row r="26" spans="1:7" ht="15" thickBot="1">
      <c r="A26" s="578"/>
      <c r="B26" s="1135" t="s">
        <v>1169</v>
      </c>
      <c r="C26" s="1168" t="s">
        <v>1170</v>
      </c>
      <c r="D26" s="1168"/>
      <c r="E26" s="1169"/>
      <c r="F26" s="1169"/>
      <c r="G26" s="1170"/>
    </row>
    <row r="27" spans="1:7">
      <c r="A27" s="578"/>
      <c r="B27" s="1171" t="s">
        <v>1171</v>
      </c>
      <c r="C27" s="1171" t="s">
        <v>1172</v>
      </c>
      <c r="D27" s="1171" t="s">
        <v>1173</v>
      </c>
      <c r="E27" s="1328">
        <f>IFERROR(E28/E13/12*1000, 0)</f>
        <v>1002.6584745762713</v>
      </c>
      <c r="F27" s="1329"/>
      <c r="G27" s="1172"/>
    </row>
    <row r="28" spans="1:7" ht="15" thickBot="1">
      <c r="A28" s="578"/>
      <c r="B28" s="1173" t="s">
        <v>1174</v>
      </c>
      <c r="C28" s="1174" t="s">
        <v>1175</v>
      </c>
      <c r="D28" s="1173" t="s">
        <v>1176</v>
      </c>
      <c r="E28" s="1330">
        <f>'4'!$E$51</f>
        <v>70.988219999999998</v>
      </c>
      <c r="F28" s="1331"/>
      <c r="G28" s="1175" t="s">
        <v>142</v>
      </c>
    </row>
    <row r="29" spans="1:7">
      <c r="A29" s="578"/>
      <c r="B29" s="1158" t="s">
        <v>66</v>
      </c>
      <c r="C29" s="1147" t="s">
        <v>1177</v>
      </c>
      <c r="D29" s="1147" t="s">
        <v>1173</v>
      </c>
      <c r="E29" s="1332">
        <f>IFERROR(E30/E17/12*1000, 0)</f>
        <v>961.72967803030292</v>
      </c>
      <c r="F29" s="1333"/>
      <c r="G29" s="1176"/>
    </row>
    <row r="30" spans="1:7" ht="15" thickBot="1">
      <c r="A30" s="578"/>
      <c r="B30" s="1177" t="s">
        <v>571</v>
      </c>
      <c r="C30" s="1174" t="s">
        <v>1178</v>
      </c>
      <c r="D30" s="1173" t="s">
        <v>1176</v>
      </c>
      <c r="E30" s="1334">
        <f>'4'!$I$51</f>
        <v>101.558654</v>
      </c>
      <c r="F30" s="1335"/>
      <c r="G30" s="1175" t="s">
        <v>142</v>
      </c>
    </row>
    <row r="31" spans="1:7">
      <c r="A31" s="578"/>
      <c r="B31" s="1143" t="s">
        <v>68</v>
      </c>
      <c r="C31" s="1178" t="s">
        <v>1179</v>
      </c>
      <c r="D31" s="1147" t="s">
        <v>1173</v>
      </c>
      <c r="E31" s="1324">
        <f>IFERROR(E32/E21/12*1000, 0)</f>
        <v>1175.5</v>
      </c>
      <c r="F31" s="1325"/>
      <c r="G31" s="1176"/>
    </row>
    <row r="32" spans="1:7" ht="15" thickBot="1">
      <c r="A32" s="578"/>
      <c r="B32" s="1177" t="s">
        <v>1180</v>
      </c>
      <c r="C32" s="1174" t="s">
        <v>1181</v>
      </c>
      <c r="D32" s="1173" t="s">
        <v>1176</v>
      </c>
      <c r="E32" s="1334">
        <f>'4'!$M$51</f>
        <v>1.4106000000000001</v>
      </c>
      <c r="F32" s="1335"/>
      <c r="G32" s="1175" t="s">
        <v>142</v>
      </c>
    </row>
    <row r="33" spans="1:7">
      <c r="A33" s="578"/>
      <c r="B33" s="1147" t="s">
        <v>70</v>
      </c>
      <c r="C33" s="1179" t="s">
        <v>1182</v>
      </c>
      <c r="D33" s="1143" t="s">
        <v>1173</v>
      </c>
      <c r="E33" s="1328">
        <f>IFERROR(E34/E22/12*1000, 0)</f>
        <v>1119.4662500000002</v>
      </c>
      <c r="F33" s="1329"/>
      <c r="G33" s="1180"/>
    </row>
    <row r="34" spans="1:7" ht="15" thickBot="1">
      <c r="A34" s="578"/>
      <c r="B34" s="1177" t="s">
        <v>1183</v>
      </c>
      <c r="C34" s="1174" t="s">
        <v>1184</v>
      </c>
      <c r="D34" s="1173" t="s">
        <v>1176</v>
      </c>
      <c r="E34" s="1334">
        <f>'4'!$O$51</f>
        <v>26.867190000000001</v>
      </c>
      <c r="F34" s="1335"/>
      <c r="G34" s="1175" t="s">
        <v>142</v>
      </c>
    </row>
    <row r="35" spans="1:7">
      <c r="A35" s="578"/>
      <c r="B35" s="1147" t="s">
        <v>72</v>
      </c>
      <c r="C35" s="1159" t="s">
        <v>1185</v>
      </c>
      <c r="D35" s="1147" t="s">
        <v>1173</v>
      </c>
      <c r="E35" s="1328">
        <f>IFERROR(E36/E23/12*1000, 0)</f>
        <v>1081.5962020033394</v>
      </c>
      <c r="F35" s="1329"/>
      <c r="G35" s="1176"/>
    </row>
    <row r="36" spans="1:7" ht="15" thickBot="1">
      <c r="A36" s="578"/>
      <c r="B36" s="1177" t="s">
        <v>914</v>
      </c>
      <c r="C36" s="1174" t="s">
        <v>1186</v>
      </c>
      <c r="D36" s="1173" t="s">
        <v>1176</v>
      </c>
      <c r="E36" s="1334">
        <f>'4'!O105+'4'!E105+'4'!I105+'4'!M105</f>
        <v>129.57522500000002</v>
      </c>
      <c r="F36" s="1335"/>
      <c r="G36" s="1175" t="s">
        <v>142</v>
      </c>
    </row>
    <row r="37" spans="1:7">
      <c r="A37" s="578"/>
      <c r="B37" s="1147" t="s">
        <v>458</v>
      </c>
      <c r="C37" s="1159" t="s">
        <v>1187</v>
      </c>
      <c r="D37" s="1147" t="s">
        <v>1173</v>
      </c>
      <c r="E37" s="1328">
        <f>IFERROR(E38/E24/12*1000, 0)</f>
        <v>1375.989636857194</v>
      </c>
      <c r="F37" s="1329"/>
      <c r="G37" s="1176"/>
    </row>
    <row r="38" spans="1:7" ht="15" thickBot="1">
      <c r="A38" s="578"/>
      <c r="B38" s="1177" t="s">
        <v>1188</v>
      </c>
      <c r="C38" s="1174" t="s">
        <v>1189</v>
      </c>
      <c r="D38" s="1173" t="s">
        <v>1176</v>
      </c>
      <c r="E38" s="1334">
        <f>'4'!O200+'4'!E200+'4'!I200+'4'!M200</f>
        <v>162.36677714914885</v>
      </c>
      <c r="F38" s="1335"/>
      <c r="G38" s="1175" t="s">
        <v>142</v>
      </c>
    </row>
    <row r="39" spans="1:7" ht="15" thickBot="1">
      <c r="A39" s="578"/>
      <c r="B39" s="1181" t="s">
        <v>462</v>
      </c>
      <c r="C39" s="1182" t="s">
        <v>1190</v>
      </c>
      <c r="D39" s="1183" t="s">
        <v>1173</v>
      </c>
      <c r="E39" s="1336">
        <f>IFERROR((E28+E30+E32+E34+E36+E38)/E11/12*1000, 0)</f>
        <v>1121.4534960153594</v>
      </c>
      <c r="F39" s="1337"/>
      <c r="G39" s="1184"/>
    </row>
    <row r="40" spans="1:7" ht="27" thickBot="1">
      <c r="A40" s="578"/>
      <c r="B40" s="1135" t="s">
        <v>466</v>
      </c>
      <c r="C40" s="1185" t="s">
        <v>1191</v>
      </c>
      <c r="D40" s="1135" t="s">
        <v>800</v>
      </c>
      <c r="E40" s="1338">
        <f>IFERROR((E12+E23)/E24, 0)</f>
        <v>2.7237288135593229</v>
      </c>
      <c r="F40" s="1339"/>
      <c r="G40" s="1137"/>
    </row>
    <row r="41" spans="1:7">
      <c r="A41" s="578"/>
      <c r="B41" s="578"/>
      <c r="C41" s="1186"/>
      <c r="D41" s="578"/>
      <c r="E41" s="578"/>
      <c r="F41" s="578"/>
      <c r="G41" s="578"/>
    </row>
    <row r="42" spans="1:7">
      <c r="A42" s="578"/>
      <c r="B42" s="578"/>
      <c r="C42" s="89" t="s">
        <v>1192</v>
      </c>
      <c r="D42" s="578"/>
      <c r="E42" s="578"/>
      <c r="F42" s="578"/>
      <c r="G42" s="578"/>
    </row>
  </sheetData>
  <mergeCells count="15">
    <mergeCell ref="E38:F38"/>
    <mergeCell ref="E39:F39"/>
    <mergeCell ref="E40:F40"/>
    <mergeCell ref="E32:F32"/>
    <mergeCell ref="E33:F33"/>
    <mergeCell ref="E34:F34"/>
    <mergeCell ref="E35:F35"/>
    <mergeCell ref="E36:F36"/>
    <mergeCell ref="E37:F37"/>
    <mergeCell ref="E31:F31"/>
    <mergeCell ref="E8:F8"/>
    <mergeCell ref="E27:F27"/>
    <mergeCell ref="E28:F28"/>
    <mergeCell ref="E29:F29"/>
    <mergeCell ref="E30:F3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BC774-BDCB-46BC-A8E8-2CEA18910E3E}">
  <sheetPr>
    <tabColor theme="0" tint="-0.14999847407452621"/>
  </sheetPr>
  <dimension ref="A1:G58"/>
  <sheetViews>
    <sheetView showGridLines="0" topLeftCell="B4" workbookViewId="0">
      <selection activeCell="E56" sqref="E56"/>
    </sheetView>
  </sheetViews>
  <sheetFormatPr defaultRowHeight="14.4"/>
  <cols>
    <col min="2" max="2" width="10.44140625" customWidth="1"/>
    <col min="3" max="3" width="90.44140625" customWidth="1"/>
    <col min="4" max="4" width="20.33203125" customWidth="1"/>
    <col min="5" max="5" width="19.88671875" customWidth="1"/>
    <col min="6" max="6" width="43.109375" customWidth="1"/>
  </cols>
  <sheetData>
    <row r="1" spans="1:7">
      <c r="A1" s="578"/>
      <c r="B1" s="578"/>
      <c r="C1" s="578"/>
      <c r="D1" s="578"/>
      <c r="E1" s="578"/>
      <c r="F1" s="578"/>
    </row>
    <row r="2" spans="1:7" ht="36">
      <c r="A2" s="578"/>
      <c r="B2" s="578"/>
      <c r="C2" s="578"/>
      <c r="D2" s="578"/>
      <c r="E2" s="578"/>
      <c r="F2" s="580" t="s">
        <v>1193</v>
      </c>
    </row>
    <row r="3" spans="1:7">
      <c r="A3" s="578"/>
      <c r="B3" s="578"/>
      <c r="C3" s="28" t="s">
        <v>1262</v>
      </c>
      <c r="D3" s="578"/>
      <c r="E3" s="578"/>
      <c r="F3" s="578"/>
    </row>
    <row r="4" spans="1:7">
      <c r="A4" s="578"/>
      <c r="B4" s="578"/>
      <c r="C4" s="28" t="s">
        <v>1357</v>
      </c>
      <c r="D4" s="578"/>
      <c r="E4" s="578"/>
      <c r="F4" s="578"/>
    </row>
    <row r="5" spans="1:7">
      <c r="A5" s="578"/>
      <c r="B5" s="578"/>
      <c r="C5" s="578"/>
      <c r="D5" s="578"/>
      <c r="E5" s="578"/>
      <c r="F5" s="578"/>
    </row>
    <row r="6" spans="1:7">
      <c r="A6" s="578"/>
      <c r="B6" s="578"/>
      <c r="C6" s="1133" t="s">
        <v>1194</v>
      </c>
      <c r="D6" s="578"/>
      <c r="E6" s="578"/>
      <c r="F6" s="578"/>
    </row>
    <row r="7" spans="1:7" ht="15" thickBot="1">
      <c r="A7" s="578"/>
      <c r="B7" s="578"/>
      <c r="C7" s="578"/>
      <c r="D7" s="578"/>
      <c r="E7" s="578"/>
      <c r="F7" s="578"/>
    </row>
    <row r="8" spans="1:7" ht="27" thickBot="1">
      <c r="A8" s="578"/>
      <c r="B8" s="911" t="s">
        <v>2</v>
      </c>
      <c r="C8" s="1187" t="s">
        <v>1137</v>
      </c>
      <c r="D8" s="1188" t="s">
        <v>679</v>
      </c>
      <c r="E8" s="1189" t="s">
        <v>46</v>
      </c>
      <c r="F8" s="914" t="s">
        <v>1138</v>
      </c>
    </row>
    <row r="9" spans="1:7" ht="26.4">
      <c r="A9" s="578"/>
      <c r="B9" s="1190" t="s">
        <v>1141</v>
      </c>
      <c r="C9" s="1191" t="s">
        <v>1195</v>
      </c>
      <c r="D9" s="1192" t="s">
        <v>1196</v>
      </c>
      <c r="E9" s="1193">
        <f>E10+E18</f>
        <v>1301.6890000000001</v>
      </c>
      <c r="F9" s="1110" t="s">
        <v>1197</v>
      </c>
      <c r="G9" t="b">
        <v>1</v>
      </c>
    </row>
    <row r="10" spans="1:7">
      <c r="A10" s="578"/>
      <c r="B10" s="1194" t="s">
        <v>95</v>
      </c>
      <c r="C10" s="1195" t="s">
        <v>1198</v>
      </c>
      <c r="D10" s="1196" t="s">
        <v>1196</v>
      </c>
      <c r="E10" s="1197">
        <f>SUM(E11:E17)</f>
        <v>0</v>
      </c>
      <c r="F10" s="1198" t="s">
        <v>1197</v>
      </c>
      <c r="G10" t="b">
        <v>1</v>
      </c>
    </row>
    <row r="11" spans="1:7">
      <c r="A11" s="578"/>
      <c r="B11" s="1199" t="s">
        <v>1199</v>
      </c>
      <c r="C11" s="1200" t="s">
        <v>1149</v>
      </c>
      <c r="D11" s="1201" t="s">
        <v>1196</v>
      </c>
      <c r="E11" s="1202">
        <v>0</v>
      </c>
      <c r="F11" s="1198" t="s">
        <v>1197</v>
      </c>
      <c r="G11" t="b">
        <v>1</v>
      </c>
    </row>
    <row r="12" spans="1:7">
      <c r="A12" s="578"/>
      <c r="B12" s="1199" t="s">
        <v>1200</v>
      </c>
      <c r="C12" s="1200" t="s">
        <v>1151</v>
      </c>
      <c r="D12" s="1201" t="s">
        <v>1196</v>
      </c>
      <c r="E12" s="1202">
        <v>0</v>
      </c>
      <c r="F12" s="1198" t="s">
        <v>1197</v>
      </c>
      <c r="G12" t="b">
        <v>1</v>
      </c>
    </row>
    <row r="13" spans="1:7">
      <c r="A13" s="578"/>
      <c r="B13" s="1199" t="s">
        <v>1201</v>
      </c>
      <c r="C13" s="1200" t="s">
        <v>1153</v>
      </c>
      <c r="D13" s="1201" t="s">
        <v>1196</v>
      </c>
      <c r="E13" s="1202">
        <v>0</v>
      </c>
      <c r="F13" s="1198" t="s">
        <v>1197</v>
      </c>
      <c r="G13" t="b">
        <v>1</v>
      </c>
    </row>
    <row r="14" spans="1:7">
      <c r="A14" s="578"/>
      <c r="B14" s="1199" t="s">
        <v>1202</v>
      </c>
      <c r="C14" s="1200" t="s">
        <v>1203</v>
      </c>
      <c r="D14" s="1201" t="s">
        <v>1196</v>
      </c>
      <c r="E14" s="1202">
        <v>0</v>
      </c>
      <c r="F14" s="1198" t="s">
        <v>1197</v>
      </c>
      <c r="G14" t="b">
        <v>1</v>
      </c>
    </row>
    <row r="15" spans="1:7">
      <c r="A15" s="578"/>
      <c r="B15" s="1199" t="s">
        <v>1204</v>
      </c>
      <c r="C15" s="1200" t="s">
        <v>1158</v>
      </c>
      <c r="D15" s="1201" t="s">
        <v>1196</v>
      </c>
      <c r="E15" s="1202">
        <v>0</v>
      </c>
      <c r="F15" s="1198" t="s">
        <v>1197</v>
      </c>
      <c r="G15" t="b">
        <v>1</v>
      </c>
    </row>
    <row r="16" spans="1:7">
      <c r="A16" s="578"/>
      <c r="B16" s="1199" t="s">
        <v>1205</v>
      </c>
      <c r="C16" s="1200" t="s">
        <v>1160</v>
      </c>
      <c r="D16" s="1201" t="s">
        <v>1196</v>
      </c>
      <c r="E16" s="1202">
        <v>0</v>
      </c>
      <c r="F16" s="1198" t="s">
        <v>1197</v>
      </c>
      <c r="G16" t="b">
        <v>1</v>
      </c>
    </row>
    <row r="17" spans="1:7" ht="15" thickBot="1">
      <c r="A17" s="578"/>
      <c r="B17" s="1199" t="s">
        <v>1206</v>
      </c>
      <c r="C17" s="1203" t="s">
        <v>1207</v>
      </c>
      <c r="D17" s="1201" t="s">
        <v>1196</v>
      </c>
      <c r="E17" s="1204">
        <v>0</v>
      </c>
      <c r="F17" s="1205" t="s">
        <v>1197</v>
      </c>
      <c r="G17" t="b">
        <v>1</v>
      </c>
    </row>
    <row r="18" spans="1:7" ht="27.6">
      <c r="A18" s="578"/>
      <c r="B18" s="1194" t="s">
        <v>97</v>
      </c>
      <c r="C18" s="1206" t="s">
        <v>1208</v>
      </c>
      <c r="D18" s="1207" t="s">
        <v>1196</v>
      </c>
      <c r="E18" s="1208">
        <f>SUM(E19:E25)</f>
        <v>1301.6890000000001</v>
      </c>
      <c r="F18" s="1209" t="s">
        <v>1197</v>
      </c>
      <c r="G18" t="b">
        <v>1</v>
      </c>
    </row>
    <row r="19" spans="1:7">
      <c r="A19" s="578"/>
      <c r="B19" s="1199" t="s">
        <v>1209</v>
      </c>
      <c r="C19" s="1200" t="s">
        <v>1149</v>
      </c>
      <c r="D19" s="1199" t="s">
        <v>1196</v>
      </c>
      <c r="E19" s="1210">
        <v>191.31899999999999</v>
      </c>
      <c r="F19" s="1210" t="s">
        <v>1197</v>
      </c>
      <c r="G19" t="b">
        <v>1</v>
      </c>
    </row>
    <row r="20" spans="1:7">
      <c r="A20" s="578"/>
      <c r="B20" s="1199" t="s">
        <v>1210</v>
      </c>
      <c r="C20" s="1200" t="s">
        <v>1151</v>
      </c>
      <c r="D20" s="1199" t="s">
        <v>1196</v>
      </c>
      <c r="E20" s="1210">
        <v>28.96</v>
      </c>
      <c r="F20" s="1210" t="s">
        <v>1197</v>
      </c>
      <c r="G20" t="b">
        <v>1</v>
      </c>
    </row>
    <row r="21" spans="1:7">
      <c r="A21" s="578"/>
      <c r="B21" s="1199" t="s">
        <v>1211</v>
      </c>
      <c r="C21" s="1200" t="s">
        <v>1153</v>
      </c>
      <c r="D21" s="1199" t="s">
        <v>1196</v>
      </c>
      <c r="E21" s="1210">
        <v>114.788</v>
      </c>
      <c r="F21" s="1210" t="s">
        <v>1197</v>
      </c>
      <c r="G21" t="b">
        <v>1</v>
      </c>
    </row>
    <row r="22" spans="1:7">
      <c r="A22" s="578"/>
      <c r="B22" s="1199" t="s">
        <v>1212</v>
      </c>
      <c r="C22" s="1200" t="s">
        <v>1203</v>
      </c>
      <c r="D22" s="1199" t="s">
        <v>1196</v>
      </c>
      <c r="E22" s="1210">
        <v>256.98700000000002</v>
      </c>
      <c r="F22" s="1210" t="s">
        <v>1197</v>
      </c>
      <c r="G22" t="b">
        <v>1</v>
      </c>
    </row>
    <row r="23" spans="1:7">
      <c r="A23" s="578"/>
      <c r="B23" s="1199" t="s">
        <v>1213</v>
      </c>
      <c r="C23" s="1200" t="s">
        <v>1158</v>
      </c>
      <c r="D23" s="1199" t="s">
        <v>1196</v>
      </c>
      <c r="E23" s="1210">
        <v>709.63499999999999</v>
      </c>
      <c r="F23" s="1210" t="s">
        <v>1197</v>
      </c>
      <c r="G23" t="b">
        <v>1</v>
      </c>
    </row>
    <row r="24" spans="1:7">
      <c r="A24" s="578"/>
      <c r="B24" s="1199" t="s">
        <v>1214</v>
      </c>
      <c r="C24" s="1200" t="s">
        <v>1160</v>
      </c>
      <c r="D24" s="1199" t="s">
        <v>1196</v>
      </c>
      <c r="E24" s="1210">
        <v>0</v>
      </c>
      <c r="F24" s="1210" t="s">
        <v>1197</v>
      </c>
      <c r="G24" t="b">
        <v>1</v>
      </c>
    </row>
    <row r="25" spans="1:7" ht="15" thickBot="1">
      <c r="A25" s="578"/>
      <c r="B25" s="1199" t="s">
        <v>1215</v>
      </c>
      <c r="C25" s="1203" t="s">
        <v>1207</v>
      </c>
      <c r="D25" s="1211" t="s">
        <v>1196</v>
      </c>
      <c r="E25" s="1212">
        <v>0</v>
      </c>
      <c r="F25" s="1210" t="s">
        <v>1197</v>
      </c>
      <c r="G25" t="b">
        <v>1</v>
      </c>
    </row>
    <row r="26" spans="1:7" ht="15" thickBot="1">
      <c r="A26" s="578"/>
      <c r="B26" s="1213" t="s">
        <v>50</v>
      </c>
      <c r="C26" s="1187" t="s">
        <v>1216</v>
      </c>
      <c r="D26" s="1213" t="s">
        <v>1196</v>
      </c>
      <c r="E26" s="1214">
        <f>E27+E31+E35+E36+E37</f>
        <v>1354.7850000000001</v>
      </c>
      <c r="F26" s="1215"/>
      <c r="G26" t="b">
        <v>1</v>
      </c>
    </row>
    <row r="27" spans="1:7">
      <c r="A27" s="578"/>
      <c r="B27" s="1190" t="s">
        <v>130</v>
      </c>
      <c r="C27" s="1216" t="s">
        <v>1147</v>
      </c>
      <c r="D27" s="1190" t="s">
        <v>1196</v>
      </c>
      <c r="E27" s="1217">
        <f>E28+E29+E30</f>
        <v>335.06700000000001</v>
      </c>
      <c r="F27" s="1209" t="s">
        <v>1197</v>
      </c>
      <c r="G27" t="b">
        <v>1</v>
      </c>
    </row>
    <row r="28" spans="1:7">
      <c r="A28" s="578"/>
      <c r="B28" s="1194" t="s">
        <v>1148</v>
      </c>
      <c r="C28" s="1218" t="s">
        <v>1149</v>
      </c>
      <c r="D28" s="1194" t="s">
        <v>1196</v>
      </c>
      <c r="E28" s="1219">
        <f>E11+E19</f>
        <v>191.31899999999999</v>
      </c>
      <c r="F28" s="1209" t="s">
        <v>1197</v>
      </c>
      <c r="G28" t="b">
        <v>1</v>
      </c>
    </row>
    <row r="29" spans="1:7">
      <c r="A29" s="578"/>
      <c r="B29" s="1194" t="s">
        <v>1150</v>
      </c>
      <c r="C29" s="1218" t="s">
        <v>1151</v>
      </c>
      <c r="D29" s="1194" t="s">
        <v>1196</v>
      </c>
      <c r="E29" s="1219">
        <f>E12+E20</f>
        <v>28.96</v>
      </c>
      <c r="F29" s="1209" t="s">
        <v>1197</v>
      </c>
      <c r="G29" t="b">
        <v>1</v>
      </c>
    </row>
    <row r="30" spans="1:7" ht="15" thickBot="1">
      <c r="A30" s="578"/>
      <c r="B30" s="1220" t="s">
        <v>1152</v>
      </c>
      <c r="C30" s="1221" t="s">
        <v>1153</v>
      </c>
      <c r="D30" s="1220" t="s">
        <v>1196</v>
      </c>
      <c r="E30" s="1219">
        <f>E13+E21</f>
        <v>114.788</v>
      </c>
      <c r="F30" s="1222" t="s">
        <v>1197</v>
      </c>
      <c r="G30" t="b">
        <v>1</v>
      </c>
    </row>
    <row r="31" spans="1:7" ht="39.6">
      <c r="A31" s="578"/>
      <c r="B31" s="1190" t="s">
        <v>132</v>
      </c>
      <c r="C31" s="1223" t="s">
        <v>1154</v>
      </c>
      <c r="D31" s="1190" t="s">
        <v>1196</v>
      </c>
      <c r="E31" s="1224">
        <f>E32+E33+E34</f>
        <v>966.62200000000007</v>
      </c>
      <c r="F31" s="1225" t="s">
        <v>1197</v>
      </c>
      <c r="G31" t="b">
        <v>1</v>
      </c>
    </row>
    <row r="32" spans="1:7">
      <c r="A32" s="578"/>
      <c r="B32" s="1194" t="s">
        <v>1155</v>
      </c>
      <c r="C32" s="1218" t="s">
        <v>1156</v>
      </c>
      <c r="D32" s="1194" t="s">
        <v>1196</v>
      </c>
      <c r="E32" s="1226">
        <f>E14+E22</f>
        <v>256.98700000000002</v>
      </c>
      <c r="F32" s="1227" t="s">
        <v>1197</v>
      </c>
      <c r="G32" t="b">
        <v>1</v>
      </c>
    </row>
    <row r="33" spans="1:7">
      <c r="A33" s="578"/>
      <c r="B33" s="1194" t="s">
        <v>1157</v>
      </c>
      <c r="C33" s="1218" t="s">
        <v>1158</v>
      </c>
      <c r="D33" s="1194" t="s">
        <v>1196</v>
      </c>
      <c r="E33" s="1226">
        <f>E15+E23</f>
        <v>709.63499999999999</v>
      </c>
      <c r="F33" s="1210" t="s">
        <v>1197</v>
      </c>
      <c r="G33" t="b">
        <v>1</v>
      </c>
    </row>
    <row r="34" spans="1:7" ht="15" thickBot="1">
      <c r="A34" s="578"/>
      <c r="B34" s="1220" t="s">
        <v>1159</v>
      </c>
      <c r="C34" s="1228" t="s">
        <v>1160</v>
      </c>
      <c r="D34" s="1220" t="s">
        <v>1196</v>
      </c>
      <c r="E34" s="1226">
        <f>E16+E24</f>
        <v>0</v>
      </c>
      <c r="F34" s="1210" t="s">
        <v>1197</v>
      </c>
      <c r="G34" t="b">
        <v>1</v>
      </c>
    </row>
    <row r="35" spans="1:7" ht="15" thickBot="1">
      <c r="A35" s="578"/>
      <c r="B35" s="911" t="s">
        <v>134</v>
      </c>
      <c r="C35" s="912" t="s">
        <v>1161</v>
      </c>
      <c r="D35" s="911" t="s">
        <v>1196</v>
      </c>
      <c r="E35" s="1229">
        <f>E17+E25</f>
        <v>0</v>
      </c>
      <c r="F35" s="1230" t="s">
        <v>1197</v>
      </c>
      <c r="G35" t="b">
        <v>1</v>
      </c>
    </row>
    <row r="36" spans="1:7" ht="15" thickBot="1">
      <c r="A36" s="578"/>
      <c r="B36" s="1213" t="s">
        <v>1162</v>
      </c>
      <c r="C36" s="1191" t="s">
        <v>1163</v>
      </c>
      <c r="D36" s="1213" t="s">
        <v>1196</v>
      </c>
      <c r="E36" s="1231">
        <v>0</v>
      </c>
      <c r="F36" s="1230" t="s">
        <v>1197</v>
      </c>
      <c r="G36" t="b">
        <v>1</v>
      </c>
    </row>
    <row r="37" spans="1:7" ht="15" thickBot="1">
      <c r="A37" s="578"/>
      <c r="B37" s="911" t="s">
        <v>1217</v>
      </c>
      <c r="C37" s="1232" t="s">
        <v>1218</v>
      </c>
      <c r="D37" s="911" t="s">
        <v>1196</v>
      </c>
      <c r="E37" s="1233">
        <v>53.095999999999997</v>
      </c>
      <c r="F37" s="1230" t="s">
        <v>1219</v>
      </c>
      <c r="G37" t="b">
        <v>1</v>
      </c>
    </row>
    <row r="38" spans="1:7" ht="15" thickBot="1">
      <c r="A38" s="578"/>
      <c r="B38" s="1234" t="s">
        <v>56</v>
      </c>
      <c r="C38" s="1235" t="s">
        <v>1220</v>
      </c>
      <c r="D38" s="1234" t="s">
        <v>1196</v>
      </c>
      <c r="E38" s="1236">
        <v>0</v>
      </c>
      <c r="F38" s="1237"/>
      <c r="G38" t="b">
        <v>1</v>
      </c>
    </row>
    <row r="39" spans="1:7" ht="15" thickBot="1">
      <c r="A39" s="578"/>
      <c r="B39" s="1234" t="s">
        <v>60</v>
      </c>
      <c r="C39" s="1235" t="s">
        <v>1221</v>
      </c>
      <c r="D39" s="1234" t="s">
        <v>1196</v>
      </c>
      <c r="E39" s="1236">
        <v>0</v>
      </c>
      <c r="F39" s="1238"/>
      <c r="G39" t="b">
        <v>1</v>
      </c>
    </row>
    <row r="40" spans="1:7" ht="15" thickBot="1">
      <c r="A40" s="578"/>
      <c r="B40" s="1234" t="s">
        <v>74</v>
      </c>
      <c r="C40" s="1235" t="s">
        <v>1222</v>
      </c>
      <c r="D40" s="1234" t="s">
        <v>1196</v>
      </c>
      <c r="E40" s="1239">
        <f>E26+E38-E39</f>
        <v>1354.7850000000001</v>
      </c>
      <c r="F40" s="1238"/>
      <c r="G40" t="b">
        <v>1</v>
      </c>
    </row>
    <row r="41" spans="1:7" ht="15" thickBot="1">
      <c r="A41" s="578"/>
      <c r="B41" s="1234" t="s">
        <v>76</v>
      </c>
      <c r="C41" s="1058" t="s">
        <v>1223</v>
      </c>
      <c r="D41" s="912"/>
      <c r="E41" s="1240"/>
      <c r="F41" s="1241"/>
      <c r="G41" t="b">
        <v>1</v>
      </c>
    </row>
    <row r="42" spans="1:7">
      <c r="A42" s="1242"/>
      <c r="B42" s="1243" t="s">
        <v>1224</v>
      </c>
      <c r="C42" s="1244" t="s">
        <v>1225</v>
      </c>
      <c r="D42" s="1243" t="s">
        <v>1226</v>
      </c>
      <c r="E42" s="1245">
        <f>IF((E43+E44)=0,"-",(((E19+E21)*100)/E45)/(E43+E44+E47))</f>
        <v>0.52970227640447487</v>
      </c>
      <c r="F42" s="1246"/>
      <c r="G42" t="b">
        <v>1</v>
      </c>
    </row>
    <row r="43" spans="1:7" ht="15">
      <c r="A43" s="578"/>
      <c r="B43" s="1194" t="s">
        <v>1227</v>
      </c>
      <c r="C43" s="1218" t="s">
        <v>1228</v>
      </c>
      <c r="D43" s="1247" t="s">
        <v>1229</v>
      </c>
      <c r="E43" s="1248">
        <f>'9'!E33</f>
        <v>55</v>
      </c>
      <c r="F43" s="1249" t="s">
        <v>1230</v>
      </c>
      <c r="G43" t="b">
        <v>1</v>
      </c>
    </row>
    <row r="44" spans="1:7" ht="15">
      <c r="A44" s="578"/>
      <c r="B44" s="1220" t="s">
        <v>1231</v>
      </c>
      <c r="C44" s="1221" t="s">
        <v>1232</v>
      </c>
      <c r="D44" s="1250" t="s">
        <v>1229</v>
      </c>
      <c r="E44" s="1251">
        <f>'9'!E60</f>
        <v>35</v>
      </c>
      <c r="F44" s="1252" t="s">
        <v>1230</v>
      </c>
      <c r="G44" t="b">
        <v>1</v>
      </c>
    </row>
    <row r="45" spans="1:7" ht="16.8" thickBot="1">
      <c r="A45" s="578"/>
      <c r="B45" s="1194" t="s">
        <v>1233</v>
      </c>
      <c r="C45" s="1218" t="s">
        <v>1234</v>
      </c>
      <c r="D45" s="1194" t="s">
        <v>1235</v>
      </c>
      <c r="E45" s="1248">
        <f>'8'!E13</f>
        <v>525.35</v>
      </c>
      <c r="F45" s="1249" t="s">
        <v>1236</v>
      </c>
      <c r="G45" t="b">
        <v>1</v>
      </c>
    </row>
    <row r="46" spans="1:7">
      <c r="A46" s="1242"/>
      <c r="B46" s="1243" t="s">
        <v>1237</v>
      </c>
      <c r="C46" s="1244" t="s">
        <v>1238</v>
      </c>
      <c r="D46" s="1243" t="s">
        <v>1239</v>
      </c>
      <c r="E46" s="1245">
        <f>E20/E48</f>
        <v>7.6735559088500271E-2</v>
      </c>
      <c r="F46" s="1246"/>
      <c r="G46" t="b">
        <v>1</v>
      </c>
    </row>
    <row r="47" spans="1:7" ht="15">
      <c r="A47" s="578"/>
      <c r="B47" s="1194" t="s">
        <v>1240</v>
      </c>
      <c r="C47" s="1218" t="s">
        <v>905</v>
      </c>
      <c r="D47" s="1247" t="s">
        <v>1229</v>
      </c>
      <c r="E47" s="1248">
        <f>'9'!E55</f>
        <v>20</v>
      </c>
      <c r="F47" s="1249" t="s">
        <v>1230</v>
      </c>
      <c r="G47" t="b">
        <v>1</v>
      </c>
    </row>
    <row r="48" spans="1:7" ht="16.8" thickBot="1">
      <c r="A48" s="578"/>
      <c r="B48" s="1194" t="s">
        <v>1241</v>
      </c>
      <c r="C48" s="1218" t="s">
        <v>1242</v>
      </c>
      <c r="D48" s="1194" t="s">
        <v>1235</v>
      </c>
      <c r="E48" s="1248">
        <f>'8'!E12</f>
        <v>377.4</v>
      </c>
      <c r="F48" s="1249" t="s">
        <v>1236</v>
      </c>
      <c r="G48" t="b">
        <v>1</v>
      </c>
    </row>
    <row r="49" spans="1:7">
      <c r="A49" s="1242"/>
      <c r="B49" s="1243" t="s">
        <v>1243</v>
      </c>
      <c r="C49" s="1244" t="s">
        <v>1244</v>
      </c>
      <c r="D49" s="1243" t="s">
        <v>1226</v>
      </c>
      <c r="E49" s="1245">
        <f>IF(E50=0,"-",((E22*100)/E52)/E50)</f>
        <v>1.2963655738105169</v>
      </c>
      <c r="F49" s="1246"/>
      <c r="G49" t="b">
        <v>1</v>
      </c>
    </row>
    <row r="50" spans="1:7" ht="15">
      <c r="A50" s="578"/>
      <c r="B50" s="1194" t="s">
        <v>1245</v>
      </c>
      <c r="C50" s="1218" t="s">
        <v>1246</v>
      </c>
      <c r="D50" s="1247" t="s">
        <v>1229</v>
      </c>
      <c r="E50" s="1248">
        <f>'9'!E78</f>
        <v>18</v>
      </c>
      <c r="F50" s="1249" t="s">
        <v>1230</v>
      </c>
      <c r="G50" t="b">
        <v>1</v>
      </c>
    </row>
    <row r="51" spans="1:7" ht="16.2">
      <c r="A51" s="578"/>
      <c r="B51" s="1194" t="s">
        <v>1247</v>
      </c>
      <c r="C51" s="1218" t="s">
        <v>1248</v>
      </c>
      <c r="D51" s="1194" t="s">
        <v>1235</v>
      </c>
      <c r="E51" s="1248">
        <f>'8'!E32</f>
        <v>1108.546</v>
      </c>
      <c r="F51" s="1249" t="s">
        <v>1236</v>
      </c>
      <c r="G51" t="b">
        <v>1</v>
      </c>
    </row>
    <row r="52" spans="1:7" ht="16.8" thickBot="1">
      <c r="A52" s="1242"/>
      <c r="B52" s="1253" t="s">
        <v>1249</v>
      </c>
      <c r="C52" s="1254" t="s">
        <v>1250</v>
      </c>
      <c r="D52" s="1253" t="s">
        <v>1251</v>
      </c>
      <c r="E52" s="1255">
        <f>'8'!E35</f>
        <v>1101.3140000000001</v>
      </c>
      <c r="F52" s="1256" t="s">
        <v>1236</v>
      </c>
      <c r="G52" t="b">
        <v>1</v>
      </c>
    </row>
    <row r="53" spans="1:7">
      <c r="A53" s="1242"/>
      <c r="B53" s="1243" t="s">
        <v>1252</v>
      </c>
      <c r="C53" s="1244" t="s">
        <v>1253</v>
      </c>
      <c r="D53" s="1243" t="s">
        <v>1254</v>
      </c>
      <c r="E53" s="1245">
        <f>IF(E54=0,"-",((E23*1000)/E54))</f>
        <v>3252.5488400142649</v>
      </c>
      <c r="F53" s="1246"/>
      <c r="G53" t="b">
        <v>1</v>
      </c>
    </row>
    <row r="54" spans="1:7" ht="15" thickBot="1">
      <c r="A54" s="578"/>
      <c r="B54" s="1194" t="s">
        <v>1255</v>
      </c>
      <c r="C54" s="1218" t="s">
        <v>1256</v>
      </c>
      <c r="D54" s="1247" t="s">
        <v>1001</v>
      </c>
      <c r="E54" s="1248">
        <f>'9'!E128</f>
        <v>218.17812272940003</v>
      </c>
      <c r="F54" s="1249" t="s">
        <v>1230</v>
      </c>
      <c r="G54" t="b">
        <v>1</v>
      </c>
    </row>
    <row r="55" spans="1:7">
      <c r="A55" s="578"/>
      <c r="B55" s="1190" t="s">
        <v>1257</v>
      </c>
      <c r="C55" s="1216" t="s">
        <v>1258</v>
      </c>
      <c r="D55" s="1190" t="s">
        <v>1259</v>
      </c>
      <c r="E55" s="1208">
        <f>IFERROR(E56/(E26-E39), 0)</f>
        <v>9.8797116920066499E-2</v>
      </c>
      <c r="F55" s="1110"/>
      <c r="G55" t="b">
        <v>0</v>
      </c>
    </row>
    <row r="56" spans="1:7" ht="15" thickBot="1">
      <c r="A56" s="578"/>
      <c r="B56" s="1257" t="s">
        <v>1260</v>
      </c>
      <c r="C56" s="1258" t="s">
        <v>1261</v>
      </c>
      <c r="D56" s="1259" t="s">
        <v>1176</v>
      </c>
      <c r="E56" s="1260">
        <f>'4'!E11+'4'!I11+'4'!M11</f>
        <v>133.84885204655231</v>
      </c>
      <c r="F56" s="1261" t="s">
        <v>142</v>
      </c>
      <c r="G56" t="b">
        <v>0</v>
      </c>
    </row>
    <row r="57" spans="1:7">
      <c r="A57" s="578"/>
      <c r="B57" s="578"/>
      <c r="C57" s="578"/>
      <c r="D57" s="578"/>
      <c r="E57" s="578"/>
      <c r="F57" s="578"/>
    </row>
    <row r="58" spans="1:7">
      <c r="A58" s="578"/>
      <c r="B58" s="578"/>
      <c r="C58" s="89" t="s">
        <v>1192</v>
      </c>
      <c r="D58" s="578"/>
      <c r="E58" s="578"/>
      <c r="F58" s="5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5DAF-2C13-451A-87F2-4780B1DB3DEC}">
  <sheetPr>
    <tabColor theme="0" tint="-0.14999847407452621"/>
  </sheetPr>
  <dimension ref="A1:D30"/>
  <sheetViews>
    <sheetView showGridLines="0" topLeftCell="A10" workbookViewId="0">
      <selection activeCell="D17" sqref="D17:D29"/>
    </sheetView>
  </sheetViews>
  <sheetFormatPr defaultRowHeight="14.4"/>
  <cols>
    <col min="2" max="2" width="6.6640625" customWidth="1"/>
    <col min="3" max="3" width="71.33203125" customWidth="1"/>
    <col min="4" max="4" width="22.109375" customWidth="1"/>
  </cols>
  <sheetData>
    <row r="1" spans="1:4">
      <c r="A1" s="26"/>
      <c r="B1" s="26"/>
      <c r="C1" s="26"/>
      <c r="D1" s="26"/>
    </row>
    <row r="2" spans="1:4" ht="72">
      <c r="A2" s="26"/>
      <c r="B2" s="26"/>
      <c r="C2" s="26"/>
      <c r="D2" s="1" t="s">
        <v>42</v>
      </c>
    </row>
    <row r="3" spans="1:4">
      <c r="A3" s="26"/>
      <c r="B3" s="26"/>
      <c r="C3" s="28" t="s">
        <v>1262</v>
      </c>
      <c r="D3" s="26"/>
    </row>
    <row r="4" spans="1:4">
      <c r="A4" s="26"/>
      <c r="B4" s="26"/>
      <c r="C4" s="28" t="s">
        <v>1357</v>
      </c>
      <c r="D4" s="26"/>
    </row>
    <row r="5" spans="1:4">
      <c r="A5" s="26"/>
      <c r="B5" s="26"/>
      <c r="C5" s="26"/>
      <c r="D5" s="26"/>
    </row>
    <row r="6" spans="1:4" ht="15.6">
      <c r="A6" s="26"/>
      <c r="B6" s="26"/>
      <c r="C6" s="29" t="s">
        <v>43</v>
      </c>
      <c r="D6" s="26"/>
    </row>
    <row r="7" spans="1:4" ht="15" thickBot="1">
      <c r="A7" s="26"/>
      <c r="B7" s="26"/>
      <c r="C7" s="26"/>
      <c r="D7" s="26"/>
    </row>
    <row r="8" spans="1:4" ht="40.200000000000003" thickBot="1">
      <c r="A8" s="26"/>
      <c r="B8" s="30" t="s">
        <v>44</v>
      </c>
      <c r="C8" s="30" t="s">
        <v>45</v>
      </c>
      <c r="D8" s="31" t="s">
        <v>46</v>
      </c>
    </row>
    <row r="9" spans="1:4" ht="15" thickBot="1">
      <c r="A9" s="26"/>
      <c r="B9" s="32"/>
      <c r="C9" s="30" t="s">
        <v>47</v>
      </c>
      <c r="D9" s="33"/>
    </row>
    <row r="10" spans="1:4">
      <c r="A10" s="26"/>
      <c r="B10" s="34" t="s">
        <v>48</v>
      </c>
      <c r="C10" s="34" t="s">
        <v>49</v>
      </c>
      <c r="D10" s="35">
        <v>9760.2720000000008</v>
      </c>
    </row>
    <row r="11" spans="1:4">
      <c r="A11" s="26"/>
      <c r="B11" s="36" t="s">
        <v>50</v>
      </c>
      <c r="C11" s="36" t="s">
        <v>51</v>
      </c>
      <c r="D11" s="37">
        <v>1010.345</v>
      </c>
    </row>
    <row r="12" spans="1:4">
      <c r="A12" s="26"/>
      <c r="B12" s="36" t="s">
        <v>52</v>
      </c>
      <c r="C12" s="36" t="s">
        <v>53</v>
      </c>
      <c r="D12" s="37">
        <v>137.49100000000001</v>
      </c>
    </row>
    <row r="13" spans="1:4">
      <c r="A13" s="26"/>
      <c r="B13" s="36" t="s">
        <v>54</v>
      </c>
      <c r="C13" s="36" t="s">
        <v>55</v>
      </c>
      <c r="D13" s="37">
        <v>118.955</v>
      </c>
    </row>
    <row r="14" spans="1:4" ht="15" thickBot="1">
      <c r="A14" s="26"/>
      <c r="B14" s="38" t="s">
        <v>56</v>
      </c>
      <c r="C14" s="38" t="s">
        <v>57</v>
      </c>
      <c r="D14" s="39">
        <v>0.88700000000000001</v>
      </c>
    </row>
    <row r="15" spans="1:4" ht="15.6" thickTop="1" thickBot="1">
      <c r="A15" s="26"/>
      <c r="B15" s="40"/>
      <c r="C15" s="40" t="s">
        <v>58</v>
      </c>
      <c r="D15" s="41">
        <f>SUM(D10:D11,D14)</f>
        <v>10771.504000000001</v>
      </c>
    </row>
    <row r="16" spans="1:4" ht="15" thickBot="1">
      <c r="A16" s="26"/>
      <c r="B16" s="30"/>
      <c r="C16" s="30" t="s">
        <v>59</v>
      </c>
      <c r="D16" s="42"/>
    </row>
    <row r="17" spans="1:4">
      <c r="A17" s="26"/>
      <c r="B17" s="34" t="s">
        <v>60</v>
      </c>
      <c r="C17" s="34" t="s">
        <v>61</v>
      </c>
      <c r="D17" s="1263">
        <v>5286.6369999999997</v>
      </c>
    </row>
    <row r="18" spans="1:4">
      <c r="A18" s="26"/>
      <c r="B18" s="36" t="s">
        <v>62</v>
      </c>
      <c r="C18" s="36" t="s">
        <v>63</v>
      </c>
      <c r="D18" s="37">
        <v>5808.71</v>
      </c>
    </row>
    <row r="19" spans="1:4">
      <c r="A19" s="26"/>
      <c r="B19" s="36" t="s">
        <v>64</v>
      </c>
      <c r="C19" s="36" t="s">
        <v>65</v>
      </c>
      <c r="D19" s="37">
        <v>5808.71</v>
      </c>
    </row>
    <row r="20" spans="1:4">
      <c r="A20" s="26"/>
      <c r="B20" s="36" t="s">
        <v>66</v>
      </c>
      <c r="C20" s="36" t="s">
        <v>67</v>
      </c>
      <c r="D20" s="37">
        <v>0.59099999999999997</v>
      </c>
    </row>
    <row r="21" spans="1:4">
      <c r="A21" s="26"/>
      <c r="B21" s="36" t="s">
        <v>68</v>
      </c>
      <c r="C21" s="36" t="s">
        <v>69</v>
      </c>
      <c r="D21" s="37">
        <v>0</v>
      </c>
    </row>
    <row r="22" spans="1:4">
      <c r="A22" s="26"/>
      <c r="B22" s="36" t="s">
        <v>70</v>
      </c>
      <c r="C22" s="36" t="s">
        <v>71</v>
      </c>
      <c r="D22" s="37">
        <v>0</v>
      </c>
    </row>
    <row r="23" spans="1:4">
      <c r="A23" s="26"/>
      <c r="B23" s="36" t="s">
        <v>72</v>
      </c>
      <c r="C23" s="36" t="s">
        <v>73</v>
      </c>
      <c r="D23" s="37">
        <v>-522.66399999999999</v>
      </c>
    </row>
    <row r="24" spans="1:4">
      <c r="A24" s="26"/>
      <c r="B24" s="36" t="s">
        <v>74</v>
      </c>
      <c r="C24" s="36" t="s">
        <v>75</v>
      </c>
      <c r="D24" s="37">
        <v>4030.6439999999998</v>
      </c>
    </row>
    <row r="25" spans="1:4">
      <c r="A25" s="26"/>
      <c r="B25" s="36" t="s">
        <v>76</v>
      </c>
      <c r="C25" s="36" t="s">
        <v>77</v>
      </c>
      <c r="D25" s="37">
        <v>0</v>
      </c>
    </row>
    <row r="26" spans="1:4">
      <c r="A26" s="26"/>
      <c r="B26" s="36" t="s">
        <v>78</v>
      </c>
      <c r="C26" s="36" t="s">
        <v>79</v>
      </c>
      <c r="D26" s="1262">
        <v>1454.223</v>
      </c>
    </row>
    <row r="27" spans="1:4" ht="26.4">
      <c r="A27" s="26"/>
      <c r="B27" s="36" t="s">
        <v>80</v>
      </c>
      <c r="C27" s="36" t="s">
        <v>81</v>
      </c>
      <c r="D27" s="37">
        <v>785.69899999999996</v>
      </c>
    </row>
    <row r="28" spans="1:4" ht="26.4">
      <c r="A28" s="26"/>
      <c r="B28" s="43" t="s">
        <v>82</v>
      </c>
      <c r="C28" s="43" t="s">
        <v>83</v>
      </c>
      <c r="D28" s="37">
        <v>668.524</v>
      </c>
    </row>
    <row r="29" spans="1:4" ht="15" thickBot="1">
      <c r="A29" s="26"/>
      <c r="B29" s="44" t="s">
        <v>84</v>
      </c>
      <c r="C29" s="44" t="s">
        <v>85</v>
      </c>
      <c r="D29" s="45">
        <v>0</v>
      </c>
    </row>
    <row r="30" spans="1:4" ht="15.6" thickTop="1" thickBot="1">
      <c r="A30" s="26"/>
      <c r="B30" s="46"/>
      <c r="C30" s="46" t="s">
        <v>86</v>
      </c>
      <c r="D30" s="47">
        <f>SUM(D17,D24,D25,D26,D29)</f>
        <v>10771.503999999999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78F24-1480-46E0-90B8-320E71BE6449}">
  <sheetPr>
    <tabColor theme="0" tint="-0.14999847407452621"/>
  </sheetPr>
  <dimension ref="A1:L95"/>
  <sheetViews>
    <sheetView showGridLines="0" topLeftCell="A76" workbookViewId="0">
      <selection activeCell="D52" sqref="D52"/>
    </sheetView>
  </sheetViews>
  <sheetFormatPr defaultRowHeight="14.4"/>
  <cols>
    <col min="2" max="2" width="9.109375" style="130"/>
    <col min="3" max="3" width="67.88671875" style="130" customWidth="1"/>
    <col min="4" max="4" width="22.5546875" customWidth="1"/>
    <col min="5" max="5" width="20.109375" customWidth="1"/>
    <col min="6" max="6" width="18.109375" customWidth="1"/>
    <col min="7" max="7" width="10.5546875" customWidth="1"/>
    <col min="8" max="8" width="32.109375" bestFit="1" customWidth="1"/>
    <col min="9" max="9" width="11.33203125" customWidth="1"/>
  </cols>
  <sheetData>
    <row r="1" spans="1:12">
      <c r="A1" s="28"/>
      <c r="B1" s="28"/>
      <c r="C1" s="28"/>
      <c r="D1" s="28"/>
      <c r="E1" s="28"/>
      <c r="F1" s="28"/>
      <c r="G1" s="48"/>
      <c r="H1" s="48"/>
      <c r="I1" s="28"/>
      <c r="J1" s="28"/>
      <c r="K1" s="28"/>
      <c r="L1" s="28"/>
    </row>
    <row r="2" spans="1:12" ht="72">
      <c r="A2" s="28"/>
      <c r="B2" s="28"/>
      <c r="C2" s="28"/>
      <c r="D2" s="28"/>
      <c r="E2" s="1" t="s">
        <v>87</v>
      </c>
      <c r="F2" s="28"/>
      <c r="G2" s="48"/>
      <c r="H2" s="48"/>
      <c r="I2" s="28"/>
      <c r="J2" s="28"/>
      <c r="K2" s="28"/>
      <c r="L2" s="28"/>
    </row>
    <row r="3" spans="1:12">
      <c r="A3" s="28"/>
      <c r="B3" s="28"/>
      <c r="C3" s="28" t="s">
        <v>1262</v>
      </c>
      <c r="D3" s="28"/>
      <c r="E3" s="1"/>
      <c r="F3" s="28"/>
      <c r="G3" s="48"/>
      <c r="H3" s="48"/>
      <c r="I3" s="28"/>
      <c r="J3" s="28"/>
      <c r="K3" s="28"/>
      <c r="L3" s="28"/>
    </row>
    <row r="4" spans="1:12">
      <c r="A4" s="28"/>
      <c r="B4" s="28"/>
      <c r="C4" s="28" t="s">
        <v>1357</v>
      </c>
      <c r="D4" s="28"/>
      <c r="E4" s="1"/>
      <c r="F4" s="28"/>
      <c r="G4" s="48"/>
      <c r="H4" s="48"/>
      <c r="I4" s="28"/>
      <c r="J4" s="28"/>
      <c r="K4" s="28"/>
      <c r="L4" s="28"/>
    </row>
    <row r="5" spans="1:12">
      <c r="A5" s="28"/>
      <c r="B5" s="28"/>
      <c r="C5" s="28"/>
      <c r="D5" s="28"/>
      <c r="E5" s="1306"/>
      <c r="F5" s="28"/>
      <c r="G5" s="48"/>
      <c r="H5" s="48"/>
      <c r="I5" s="28"/>
      <c r="J5" s="28"/>
      <c r="K5" s="28"/>
      <c r="L5" s="28"/>
    </row>
    <row r="6" spans="1:12" ht="15.6">
      <c r="A6" s="28"/>
      <c r="B6" s="28"/>
      <c r="C6" s="49" t="s">
        <v>88</v>
      </c>
      <c r="D6" s="28"/>
      <c r="E6" s="28"/>
      <c r="F6" s="28"/>
      <c r="G6" s="48"/>
      <c r="H6" s="48"/>
      <c r="I6" s="28"/>
      <c r="J6" s="28"/>
      <c r="K6" s="28"/>
      <c r="L6" s="28"/>
    </row>
    <row r="7" spans="1:12" ht="15" thickBot="1">
      <c r="A7" s="28"/>
      <c r="B7" s="28"/>
      <c r="C7" s="28"/>
      <c r="D7" s="28"/>
      <c r="E7" s="28"/>
      <c r="F7" s="28"/>
      <c r="G7" s="48"/>
      <c r="H7" s="48"/>
      <c r="I7" s="28"/>
      <c r="J7" s="28"/>
      <c r="K7" s="28"/>
      <c r="L7" s="28"/>
    </row>
    <row r="8" spans="1:12" ht="15" thickBot="1">
      <c r="A8" s="28"/>
      <c r="B8" s="50" t="s">
        <v>2</v>
      </c>
      <c r="C8" s="51" t="s">
        <v>89</v>
      </c>
      <c r="D8" s="52" t="s">
        <v>46</v>
      </c>
      <c r="E8" s="53" t="s">
        <v>90</v>
      </c>
      <c r="F8" s="28"/>
      <c r="G8" s="48"/>
      <c r="H8" s="48"/>
      <c r="I8" s="28"/>
      <c r="J8" s="28"/>
      <c r="K8" s="28"/>
      <c r="L8" s="28"/>
    </row>
    <row r="9" spans="1:12" ht="15" thickBot="1">
      <c r="A9" s="28"/>
      <c r="B9" s="54" t="s">
        <v>5</v>
      </c>
      <c r="C9" s="55" t="s">
        <v>91</v>
      </c>
      <c r="D9" s="56"/>
      <c r="E9" s="57"/>
      <c r="F9" s="28"/>
      <c r="G9" s="48"/>
      <c r="H9" s="48"/>
      <c r="I9" s="28"/>
      <c r="J9" s="28"/>
      <c r="K9" s="28"/>
      <c r="L9" s="28"/>
    </row>
    <row r="10" spans="1:12" ht="23.4" thickBot="1">
      <c r="A10" s="28"/>
      <c r="B10" s="54" t="s">
        <v>48</v>
      </c>
      <c r="C10" s="55" t="s">
        <v>92</v>
      </c>
      <c r="D10" s="58">
        <f>D11+D14+D26</f>
        <v>905.20978561994696</v>
      </c>
      <c r="E10" s="59"/>
      <c r="F10" s="28" t="b">
        <v>1</v>
      </c>
      <c r="G10" s="1305"/>
      <c r="H10" s="48"/>
      <c r="I10" s="60"/>
      <c r="J10" s="28"/>
      <c r="K10" s="28"/>
      <c r="L10" s="28"/>
    </row>
    <row r="11" spans="1:12">
      <c r="A11" s="28"/>
      <c r="B11" s="61" t="s">
        <v>93</v>
      </c>
      <c r="C11" s="62" t="s">
        <v>94</v>
      </c>
      <c r="D11" s="63">
        <f>SUM(D12:D13)</f>
        <v>302.471479912679</v>
      </c>
      <c r="E11" s="64"/>
      <c r="F11" s="28" t="b">
        <v>1</v>
      </c>
      <c r="G11" s="48"/>
      <c r="H11" s="48"/>
      <c r="I11" s="28"/>
      <c r="J11" s="28"/>
      <c r="K11" s="28"/>
      <c r="L11" s="28"/>
    </row>
    <row r="12" spans="1:12">
      <c r="A12" s="28"/>
      <c r="B12" s="65" t="s">
        <v>95</v>
      </c>
      <c r="C12" s="66" t="s">
        <v>96</v>
      </c>
      <c r="D12" s="67">
        <v>292.34798999999998</v>
      </c>
      <c r="E12" s="68"/>
      <c r="F12" s="28" t="b">
        <v>1</v>
      </c>
      <c r="G12" s="48"/>
      <c r="H12" s="48"/>
      <c r="I12" s="28"/>
      <c r="J12" s="28"/>
      <c r="K12" s="28"/>
      <c r="L12" s="28"/>
    </row>
    <row r="13" spans="1:12" ht="15" thickBot="1">
      <c r="A13" s="28"/>
      <c r="B13" s="69" t="s">
        <v>97</v>
      </c>
      <c r="C13" s="70" t="s">
        <v>98</v>
      </c>
      <c r="D13" s="1265">
        <v>10.123489912679</v>
      </c>
      <c r="E13" s="72"/>
      <c r="F13" s="28" t="b">
        <v>1</v>
      </c>
      <c r="G13" s="48"/>
      <c r="H13" s="48"/>
      <c r="I13" s="28"/>
      <c r="J13" s="28"/>
      <c r="K13" s="28"/>
      <c r="L13" s="28"/>
    </row>
    <row r="14" spans="1:12">
      <c r="A14" s="28"/>
      <c r="B14" s="61" t="s">
        <v>99</v>
      </c>
      <c r="C14" s="62" t="s">
        <v>100</v>
      </c>
      <c r="D14" s="63">
        <f>D15+D18+D22</f>
        <v>602.73830570726795</v>
      </c>
      <c r="E14" s="64"/>
      <c r="F14" s="28" t="b">
        <v>1</v>
      </c>
      <c r="G14" s="48"/>
      <c r="H14" s="48"/>
      <c r="I14" s="28"/>
      <c r="J14" s="28"/>
      <c r="K14" s="28"/>
      <c r="L14" s="28"/>
    </row>
    <row r="15" spans="1:12">
      <c r="A15" s="28"/>
      <c r="B15" s="73" t="s">
        <v>101</v>
      </c>
      <c r="C15" s="74" t="s">
        <v>102</v>
      </c>
      <c r="D15" s="75">
        <f>IFERROR(SUM(D16:D17)+D27*(D42/D41), 0)</f>
        <v>208.88634192940697</v>
      </c>
      <c r="E15" s="68"/>
      <c r="F15" s="28" t="b">
        <v>1</v>
      </c>
      <c r="G15" s="48"/>
      <c r="H15" s="48"/>
      <c r="I15" s="28"/>
      <c r="J15" s="28"/>
      <c r="K15" s="28"/>
      <c r="L15" s="28"/>
    </row>
    <row r="16" spans="1:12">
      <c r="A16" s="28"/>
      <c r="B16" s="65" t="s">
        <v>103</v>
      </c>
      <c r="C16" s="66" t="s">
        <v>104</v>
      </c>
      <c r="D16" s="76">
        <v>206.03973393000001</v>
      </c>
      <c r="E16" s="68"/>
      <c r="F16" s="28" t="b">
        <v>1</v>
      </c>
      <c r="G16" s="48"/>
      <c r="H16" s="48"/>
      <c r="I16" s="28"/>
      <c r="J16" s="28"/>
      <c r="K16" s="28"/>
      <c r="L16" s="28"/>
    </row>
    <row r="17" spans="1:12">
      <c r="A17" s="28"/>
      <c r="B17" s="65" t="s">
        <v>105</v>
      </c>
      <c r="C17" s="66" t="s">
        <v>98</v>
      </c>
      <c r="D17" s="1264">
        <v>2.8466079994069502</v>
      </c>
      <c r="E17" s="68"/>
      <c r="F17" s="28" t="b">
        <v>1</v>
      </c>
      <c r="G17" s="48"/>
      <c r="H17" s="48"/>
      <c r="I17" s="28"/>
      <c r="J17" s="28"/>
      <c r="K17" s="28"/>
      <c r="L17" s="28" t="s">
        <v>106</v>
      </c>
    </row>
    <row r="18" spans="1:12">
      <c r="A18" s="28"/>
      <c r="B18" s="73" t="s">
        <v>107</v>
      </c>
      <c r="C18" s="74" t="s">
        <v>108</v>
      </c>
      <c r="D18" s="75">
        <f>IFERROR(SUM(D19:D21)+D27*(D43/D41), 0)</f>
        <v>364.52188715025972</v>
      </c>
      <c r="E18" s="68"/>
      <c r="F18" s="28" t="b">
        <v>1</v>
      </c>
      <c r="G18" s="48"/>
      <c r="H18" s="48"/>
      <c r="I18" s="28"/>
      <c r="J18" s="28"/>
      <c r="K18" s="28"/>
      <c r="L18" s="28"/>
    </row>
    <row r="19" spans="1:12">
      <c r="A19" s="28"/>
      <c r="B19" s="65" t="s">
        <v>109</v>
      </c>
      <c r="C19" s="66" t="s">
        <v>110</v>
      </c>
      <c r="D19" s="76">
        <v>364.4991675</v>
      </c>
      <c r="E19" s="68"/>
      <c r="F19" s="28" t="b">
        <v>1</v>
      </c>
      <c r="G19" s="48"/>
      <c r="H19" s="48"/>
      <c r="I19" s="28"/>
      <c r="J19" s="28"/>
      <c r="K19" s="28"/>
      <c r="L19" s="28"/>
    </row>
    <row r="20" spans="1:12">
      <c r="A20" s="28"/>
      <c r="B20" s="65" t="s">
        <v>111</v>
      </c>
      <c r="C20" s="66" t="s">
        <v>112</v>
      </c>
      <c r="D20" s="76">
        <v>0</v>
      </c>
      <c r="E20" s="68"/>
      <c r="F20" s="28" t="b">
        <v>1</v>
      </c>
      <c r="G20" s="48"/>
      <c r="H20" s="48"/>
      <c r="I20" s="28"/>
      <c r="J20" s="28"/>
      <c r="K20" s="28"/>
      <c r="L20" s="28"/>
    </row>
    <row r="21" spans="1:12">
      <c r="A21" s="28"/>
      <c r="B21" s="65" t="s">
        <v>113</v>
      </c>
      <c r="C21" s="66" t="s">
        <v>98</v>
      </c>
      <c r="D21" s="67">
        <v>2.2719650259730401E-2</v>
      </c>
      <c r="E21" s="68"/>
      <c r="F21" s="28" t="b">
        <v>1</v>
      </c>
      <c r="G21" s="48"/>
      <c r="H21" s="48"/>
      <c r="I21" s="28"/>
      <c r="J21" s="28"/>
      <c r="K21" s="28"/>
      <c r="L21" s="28"/>
    </row>
    <row r="22" spans="1:12">
      <c r="A22" s="28"/>
      <c r="B22" s="73" t="s">
        <v>114</v>
      </c>
      <c r="C22" s="74" t="s">
        <v>115</v>
      </c>
      <c r="D22" s="75">
        <f>IFERROR(SUM(D23:D25)+D27*(D44/D41), 0)</f>
        <v>29.33007662760134</v>
      </c>
      <c r="E22" s="68"/>
      <c r="F22" s="28" t="b">
        <v>1</v>
      </c>
      <c r="G22" s="48"/>
      <c r="H22" s="48"/>
      <c r="I22" s="28"/>
      <c r="J22" s="28"/>
      <c r="K22" s="28"/>
      <c r="L22" s="28"/>
    </row>
    <row r="23" spans="1:12">
      <c r="A23" s="28"/>
      <c r="B23" s="65" t="s">
        <v>116</v>
      </c>
      <c r="C23" s="66" t="s">
        <v>117</v>
      </c>
      <c r="D23" s="76">
        <v>29.029661004000001</v>
      </c>
      <c r="E23" s="68"/>
      <c r="F23" s="28" t="b">
        <v>1</v>
      </c>
      <c r="G23" s="48"/>
      <c r="H23" s="48"/>
      <c r="I23" s="28"/>
      <c r="J23" s="28"/>
      <c r="K23" s="28"/>
      <c r="L23" s="28"/>
    </row>
    <row r="24" spans="1:12">
      <c r="A24" s="28"/>
      <c r="B24" s="65" t="s">
        <v>118</v>
      </c>
      <c r="C24" s="66" t="s">
        <v>119</v>
      </c>
      <c r="D24" s="76">
        <v>0</v>
      </c>
      <c r="E24" s="68"/>
      <c r="F24" s="28" t="b">
        <v>1</v>
      </c>
      <c r="G24" s="48"/>
      <c r="H24" s="48"/>
      <c r="I24" s="28"/>
      <c r="J24" s="28"/>
      <c r="K24" s="28"/>
      <c r="L24" s="28"/>
    </row>
    <row r="25" spans="1:12" ht="15" thickBot="1">
      <c r="A25" s="28"/>
      <c r="B25" s="69" t="s">
        <v>120</v>
      </c>
      <c r="C25" s="70" t="s">
        <v>98</v>
      </c>
      <c r="D25" s="71">
        <v>0.300415623601338</v>
      </c>
      <c r="E25" s="72"/>
      <c r="F25" s="28" t="b">
        <v>1</v>
      </c>
      <c r="G25" s="48"/>
      <c r="H25" s="48"/>
      <c r="I25" s="28"/>
      <c r="J25" s="28"/>
      <c r="K25" s="28"/>
      <c r="L25" s="28"/>
    </row>
    <row r="26" spans="1:12">
      <c r="A26" s="28"/>
      <c r="B26" s="61" t="s">
        <v>121</v>
      </c>
      <c r="C26" s="62" t="s">
        <v>122</v>
      </c>
      <c r="D26" s="77">
        <f>SUM(D28+D29)</f>
        <v>0</v>
      </c>
      <c r="E26" s="64"/>
      <c r="F26" s="28" t="b">
        <v>1</v>
      </c>
      <c r="G26" s="48"/>
      <c r="H26" s="48"/>
      <c r="I26" s="28"/>
      <c r="J26" s="28"/>
      <c r="K26" s="28"/>
      <c r="L26" s="28"/>
    </row>
    <row r="27" spans="1:12">
      <c r="A27" s="28"/>
      <c r="B27" s="65" t="s">
        <v>123</v>
      </c>
      <c r="C27" s="66" t="s">
        <v>124</v>
      </c>
      <c r="D27" s="78">
        <v>0</v>
      </c>
      <c r="E27" s="68"/>
      <c r="F27" s="28" t="b">
        <v>1</v>
      </c>
      <c r="G27" s="48"/>
      <c r="H27" s="48"/>
      <c r="I27" s="28"/>
      <c r="J27" s="28"/>
      <c r="K27" s="28"/>
      <c r="L27" s="28"/>
    </row>
    <row r="28" spans="1:12" ht="24">
      <c r="A28" s="28"/>
      <c r="B28" s="65" t="s">
        <v>125</v>
      </c>
      <c r="C28" s="66" t="s">
        <v>126</v>
      </c>
      <c r="D28" s="67">
        <v>0</v>
      </c>
      <c r="E28" s="68"/>
      <c r="F28" s="28" t="b">
        <v>1</v>
      </c>
      <c r="G28" s="48"/>
      <c r="H28" s="48"/>
      <c r="I28" s="28"/>
      <c r="J28" s="28"/>
      <c r="K28" s="28"/>
      <c r="L28" s="28"/>
    </row>
    <row r="29" spans="1:12" ht="15" thickBot="1">
      <c r="A29" s="28"/>
      <c r="B29" s="65" t="s">
        <v>127</v>
      </c>
      <c r="C29" s="70" t="s">
        <v>98</v>
      </c>
      <c r="D29" s="71">
        <v>0</v>
      </c>
      <c r="E29" s="72"/>
      <c r="F29" s="28" t="b">
        <v>1</v>
      </c>
      <c r="G29" s="48"/>
      <c r="H29" s="48"/>
      <c r="I29" s="28"/>
      <c r="J29" s="28"/>
      <c r="K29" s="28"/>
      <c r="L29" s="28"/>
    </row>
    <row r="30" spans="1:12">
      <c r="A30" s="28"/>
      <c r="B30" s="61" t="s">
        <v>50</v>
      </c>
      <c r="C30" s="79" t="s">
        <v>128</v>
      </c>
      <c r="D30" s="63">
        <f>D31+D35</f>
        <v>187.76421681405299</v>
      </c>
      <c r="E30" s="64"/>
      <c r="F30" s="28" t="b">
        <v>1</v>
      </c>
      <c r="G30" s="48"/>
      <c r="H30" s="48"/>
      <c r="I30" s="28"/>
      <c r="J30" s="28"/>
      <c r="K30" s="28"/>
      <c r="L30" s="28"/>
    </row>
    <row r="31" spans="1:12">
      <c r="A31" s="28"/>
      <c r="B31" s="73" t="s">
        <v>52</v>
      </c>
      <c r="C31" s="74" t="s">
        <v>129</v>
      </c>
      <c r="D31" s="75">
        <f>SUM(D32:D34)</f>
        <v>73.476851814052992</v>
      </c>
      <c r="E31" s="68"/>
      <c r="F31" s="28" t="b">
        <v>1</v>
      </c>
      <c r="G31" s="48"/>
      <c r="H31" s="48"/>
      <c r="I31" s="28"/>
      <c r="J31" s="28"/>
      <c r="K31" s="28"/>
      <c r="L31" s="28"/>
    </row>
    <row r="32" spans="1:12">
      <c r="A32" s="28"/>
      <c r="B32" s="65" t="s">
        <v>130</v>
      </c>
      <c r="C32" s="66" t="s">
        <v>131</v>
      </c>
      <c r="D32" s="67">
        <v>73.476839999999996</v>
      </c>
      <c r="E32" s="68"/>
      <c r="F32" s="28" t="b">
        <v>1</v>
      </c>
      <c r="G32" s="48"/>
      <c r="H32" s="48"/>
      <c r="I32" s="28"/>
      <c r="J32" s="28"/>
      <c r="K32" s="28"/>
      <c r="L32" s="28"/>
    </row>
    <row r="33" spans="1:12">
      <c r="A33" s="28"/>
      <c r="B33" s="65" t="s">
        <v>132</v>
      </c>
      <c r="C33" s="66" t="s">
        <v>133</v>
      </c>
      <c r="D33" s="67">
        <v>0</v>
      </c>
      <c r="E33" s="68"/>
      <c r="F33" s="28" t="b">
        <v>1</v>
      </c>
      <c r="G33" s="48"/>
      <c r="H33" s="48"/>
      <c r="I33" s="28"/>
      <c r="J33" s="28"/>
      <c r="K33" s="28"/>
      <c r="L33" s="28"/>
    </row>
    <row r="34" spans="1:12">
      <c r="A34" s="28"/>
      <c r="B34" s="65" t="s">
        <v>134</v>
      </c>
      <c r="C34" s="66" t="s">
        <v>98</v>
      </c>
      <c r="D34" s="67">
        <v>1.1814053003397601E-5</v>
      </c>
      <c r="E34" s="68"/>
      <c r="F34" s="28" t="b">
        <v>1</v>
      </c>
      <c r="G34" s="48"/>
      <c r="H34" s="48"/>
      <c r="I34" s="28"/>
      <c r="J34" s="28"/>
      <c r="K34" s="28"/>
      <c r="L34" s="28"/>
    </row>
    <row r="35" spans="1:12">
      <c r="A35" s="28"/>
      <c r="B35" s="73" t="s">
        <v>135</v>
      </c>
      <c r="C35" s="74" t="s">
        <v>136</v>
      </c>
      <c r="D35" s="75">
        <f>SUM(D36:D37)</f>
        <v>114.28736499999999</v>
      </c>
      <c r="E35" s="68"/>
      <c r="F35" s="28" t="b">
        <v>1</v>
      </c>
      <c r="G35" s="48"/>
      <c r="H35" s="48"/>
      <c r="I35" s="28"/>
      <c r="J35" s="28"/>
      <c r="K35" s="28"/>
      <c r="L35" s="28"/>
    </row>
    <row r="36" spans="1:12">
      <c r="A36" s="28"/>
      <c r="B36" s="65" t="s">
        <v>137</v>
      </c>
      <c r="C36" s="66" t="s">
        <v>138</v>
      </c>
      <c r="D36" s="80">
        <f>127.55961-D37*2+0.021</f>
        <v>100.99411999999997</v>
      </c>
      <c r="E36" s="68"/>
      <c r="F36" s="28" t="b">
        <v>1</v>
      </c>
      <c r="G36" s="48"/>
      <c r="H36" s="48"/>
      <c r="I36" s="28"/>
      <c r="J36" s="28"/>
      <c r="K36" s="28"/>
      <c r="L36" s="28"/>
    </row>
    <row r="37" spans="1:12" ht="15" thickBot="1">
      <c r="A37" s="28"/>
      <c r="B37" s="69" t="s">
        <v>139</v>
      </c>
      <c r="C37" s="70" t="s">
        <v>98</v>
      </c>
      <c r="D37" s="71">
        <f>+D34+D29+D25+D21+D17+D13</f>
        <v>13.293245000000022</v>
      </c>
      <c r="E37" s="72"/>
      <c r="F37" s="28" t="b">
        <v>1</v>
      </c>
      <c r="G37" s="81"/>
      <c r="H37" s="48"/>
      <c r="I37" s="28"/>
      <c r="J37" s="28"/>
      <c r="K37" s="28"/>
      <c r="L37" s="28"/>
    </row>
    <row r="38" spans="1:12" ht="15" thickBot="1">
      <c r="A38" s="28"/>
      <c r="B38" s="82" t="s">
        <v>140</v>
      </c>
      <c r="C38" s="83" t="s">
        <v>141</v>
      </c>
      <c r="D38" s="1292">
        <f>D39+D46</f>
        <v>1286.1178703833561</v>
      </c>
      <c r="E38" s="84" t="s">
        <v>142</v>
      </c>
      <c r="F38" s="28" t="b">
        <v>1</v>
      </c>
      <c r="G38" s="48"/>
      <c r="H38" s="48"/>
      <c r="I38" s="60"/>
      <c r="J38" s="28"/>
      <c r="K38" s="28"/>
      <c r="L38" s="28"/>
    </row>
    <row r="39" spans="1:12" ht="22.8">
      <c r="A39" s="28"/>
      <c r="B39" s="61" t="s">
        <v>56</v>
      </c>
      <c r="C39" s="79" t="s">
        <v>143</v>
      </c>
      <c r="D39" s="85">
        <f>D40+D41+D45</f>
        <v>1218.3876505160838</v>
      </c>
      <c r="E39" s="64" t="s">
        <v>142</v>
      </c>
      <c r="F39" s="28" t="b">
        <v>1</v>
      </c>
      <c r="G39" s="48"/>
      <c r="H39" s="1283"/>
      <c r="I39" s="60"/>
      <c r="J39" s="28"/>
      <c r="K39" s="28"/>
      <c r="L39" s="28"/>
    </row>
    <row r="40" spans="1:12">
      <c r="A40" s="28"/>
      <c r="B40" s="65" t="s">
        <v>144</v>
      </c>
      <c r="C40" s="86" t="s">
        <v>145</v>
      </c>
      <c r="D40" s="87">
        <f>'4'!E21</f>
        <v>366.78933188466806</v>
      </c>
      <c r="E40" s="68" t="s">
        <v>142</v>
      </c>
      <c r="F40" s="28" t="b">
        <v>1</v>
      </c>
      <c r="G40" s="48"/>
      <c r="H40" s="48"/>
      <c r="I40" s="28"/>
      <c r="J40" s="28"/>
      <c r="K40" s="28"/>
      <c r="L40" s="28"/>
    </row>
    <row r="41" spans="1:12">
      <c r="A41" s="28"/>
      <c r="B41" s="65" t="s">
        <v>146</v>
      </c>
      <c r="C41" s="86" t="s">
        <v>147</v>
      </c>
      <c r="D41" s="88">
        <f>'4'!I21</f>
        <v>847.98382223475801</v>
      </c>
      <c r="E41" s="68" t="s">
        <v>142</v>
      </c>
      <c r="F41" s="28" t="b">
        <v>1</v>
      </c>
      <c r="G41" s="48"/>
      <c r="H41" s="48"/>
      <c r="I41" s="28"/>
      <c r="J41" s="28"/>
      <c r="K41" s="28"/>
      <c r="L41" s="28"/>
    </row>
    <row r="42" spans="1:12">
      <c r="A42" s="89"/>
      <c r="B42" s="90" t="s">
        <v>148</v>
      </c>
      <c r="C42" s="91" t="s">
        <v>149</v>
      </c>
      <c r="D42" s="92">
        <f>'4'!$J$21</f>
        <v>353.42650844194645</v>
      </c>
      <c r="E42" s="93" t="s">
        <v>142</v>
      </c>
      <c r="F42" s="28" t="b">
        <v>1</v>
      </c>
      <c r="G42" s="48"/>
      <c r="H42" s="94"/>
      <c r="I42" s="89"/>
      <c r="J42" s="89"/>
      <c r="K42" s="89"/>
      <c r="L42" s="89"/>
    </row>
    <row r="43" spans="1:12">
      <c r="A43" s="89"/>
      <c r="B43" s="90" t="s">
        <v>150</v>
      </c>
      <c r="C43" s="91" t="s">
        <v>151</v>
      </c>
      <c r="D43" s="92">
        <f>'4'!$K$21</f>
        <v>399.23402559593211</v>
      </c>
      <c r="E43" s="93" t="s">
        <v>142</v>
      </c>
      <c r="F43" s="28" t="b">
        <v>1</v>
      </c>
      <c r="G43" s="48"/>
      <c r="H43" s="94"/>
      <c r="I43" s="89"/>
      <c r="J43" s="89"/>
      <c r="K43" s="89"/>
      <c r="L43" s="89"/>
    </row>
    <row r="44" spans="1:12">
      <c r="A44" s="89"/>
      <c r="B44" s="90" t="s">
        <v>152</v>
      </c>
      <c r="C44" s="91" t="s">
        <v>153</v>
      </c>
      <c r="D44" s="92">
        <f>'4'!$L$21</f>
        <v>95.323288196879432</v>
      </c>
      <c r="E44" s="93" t="s">
        <v>142</v>
      </c>
      <c r="F44" s="28" t="b">
        <v>1</v>
      </c>
      <c r="G44" s="48"/>
      <c r="H44" s="94"/>
      <c r="I44" s="89"/>
      <c r="J44" s="89"/>
      <c r="K44" s="89"/>
      <c r="L44" s="89"/>
    </row>
    <row r="45" spans="1:12" ht="15" thickBot="1">
      <c r="A45" s="28"/>
      <c r="B45" s="69" t="s">
        <v>154</v>
      </c>
      <c r="C45" s="86" t="s">
        <v>155</v>
      </c>
      <c r="D45" s="87">
        <f>'4'!$M$21</f>
        <v>3.6144963966575157</v>
      </c>
      <c r="E45" s="68" t="s">
        <v>142</v>
      </c>
      <c r="F45" s="28" t="b">
        <v>1</v>
      </c>
      <c r="G45" s="48"/>
      <c r="H45" s="48"/>
      <c r="I45" s="28"/>
      <c r="J45" s="28"/>
      <c r="K45" s="28"/>
      <c r="L45" s="28"/>
    </row>
    <row r="46" spans="1:12">
      <c r="A46" s="28"/>
      <c r="B46" s="61" t="s">
        <v>60</v>
      </c>
      <c r="C46" s="79" t="s">
        <v>156</v>
      </c>
      <c r="D46" s="85">
        <f>SUM(D47:D49)</f>
        <v>67.73021986727224</v>
      </c>
      <c r="E46" s="64" t="s">
        <v>142</v>
      </c>
      <c r="F46" s="28" t="b">
        <v>1</v>
      </c>
      <c r="G46" s="48"/>
      <c r="H46" s="95"/>
      <c r="I46" s="60"/>
      <c r="J46" s="28"/>
      <c r="K46" s="28"/>
      <c r="L46" s="28"/>
    </row>
    <row r="47" spans="1:12">
      <c r="A47" s="28"/>
      <c r="B47" s="69" t="s">
        <v>62</v>
      </c>
      <c r="C47" s="96" t="s">
        <v>157</v>
      </c>
      <c r="D47" s="97">
        <f>'4'!O21</f>
        <v>37.35732335381725</v>
      </c>
      <c r="E47" s="72" t="s">
        <v>142</v>
      </c>
      <c r="F47" s="28" t="b">
        <v>1</v>
      </c>
      <c r="G47" s="48"/>
      <c r="H47" s="48"/>
      <c r="I47" s="28"/>
      <c r="J47" s="28"/>
      <c r="K47" s="28"/>
      <c r="L47" s="28"/>
    </row>
    <row r="48" spans="1:12">
      <c r="A48" s="28"/>
      <c r="B48" s="65" t="s">
        <v>66</v>
      </c>
      <c r="C48" s="86" t="s">
        <v>158</v>
      </c>
      <c r="D48" s="87">
        <f>'4'!$P$21</f>
        <v>0</v>
      </c>
      <c r="E48" s="68" t="s">
        <v>142</v>
      </c>
      <c r="F48" s="28" t="b">
        <v>1</v>
      </c>
      <c r="G48" s="48"/>
      <c r="H48" s="98"/>
      <c r="I48" s="28"/>
      <c r="J48" s="28"/>
      <c r="K48" s="28"/>
      <c r="L48" s="28"/>
    </row>
    <row r="49" spans="1:12" ht="15" thickBot="1">
      <c r="A49" s="28"/>
      <c r="B49" s="69" t="s">
        <v>68</v>
      </c>
      <c r="C49" s="96" t="s">
        <v>159</v>
      </c>
      <c r="D49" s="97">
        <f>'4'!$Q$21</f>
        <v>30.372896513454982</v>
      </c>
      <c r="E49" s="72" t="s">
        <v>142</v>
      </c>
      <c r="F49" s="28" t="b">
        <v>1</v>
      </c>
      <c r="G49" s="48"/>
      <c r="H49" s="48"/>
      <c r="I49" s="28"/>
      <c r="J49" s="28"/>
      <c r="K49" s="28"/>
      <c r="L49" s="28"/>
    </row>
    <row r="50" spans="1:12">
      <c r="A50" s="28"/>
      <c r="B50" s="61" t="s">
        <v>160</v>
      </c>
      <c r="C50" s="99" t="s">
        <v>161</v>
      </c>
      <c r="D50" s="85">
        <f>SUM(D51:D70)</f>
        <v>50.829369775510202</v>
      </c>
      <c r="E50" s="64"/>
      <c r="F50" s="28" t="b">
        <v>1</v>
      </c>
      <c r="G50" s="48"/>
      <c r="H50" s="95"/>
      <c r="I50" s="60"/>
      <c r="J50" s="28"/>
      <c r="K50" s="28"/>
      <c r="L50" s="28"/>
    </row>
    <row r="51" spans="1:12">
      <c r="A51" s="28"/>
      <c r="B51" s="100" t="s">
        <v>162</v>
      </c>
      <c r="C51" s="101" t="s">
        <v>163</v>
      </c>
      <c r="D51" s="1282">
        <f>(-190.22+613.57+30)/1000</f>
        <v>0.45335000000000003</v>
      </c>
      <c r="E51" s="103"/>
      <c r="F51" s="28" t="b">
        <v>1</v>
      </c>
      <c r="G51" s="48"/>
      <c r="H51" s="95"/>
      <c r="I51" s="28"/>
      <c r="J51" s="28"/>
      <c r="K51" s="28"/>
      <c r="L51" s="28"/>
    </row>
    <row r="52" spans="1:12" ht="53.4">
      <c r="A52" s="28"/>
      <c r="B52" s="104" t="s">
        <v>164</v>
      </c>
      <c r="C52" s="101" t="s">
        <v>165</v>
      </c>
      <c r="D52" s="1282">
        <v>0.23699999999999999</v>
      </c>
      <c r="E52" s="103"/>
      <c r="F52" s="28" t="b">
        <v>1</v>
      </c>
      <c r="G52" s="48"/>
      <c r="H52" s="98"/>
      <c r="I52" s="28"/>
      <c r="J52" s="28"/>
      <c r="K52" s="28"/>
      <c r="L52" s="28"/>
    </row>
    <row r="53" spans="1:12">
      <c r="A53" s="28"/>
      <c r="B53" s="104" t="s">
        <v>166</v>
      </c>
      <c r="C53" s="101" t="s">
        <v>167</v>
      </c>
      <c r="D53" s="1282">
        <v>0</v>
      </c>
      <c r="E53" s="103"/>
      <c r="F53" s="28" t="b">
        <v>1</v>
      </c>
      <c r="G53" s="48"/>
      <c r="H53" s="48"/>
      <c r="I53" s="28"/>
      <c r="J53" s="28"/>
      <c r="K53" s="28"/>
      <c r="L53" s="28"/>
    </row>
    <row r="54" spans="1:12" ht="27">
      <c r="A54" s="28"/>
      <c r="B54" s="104" t="s">
        <v>168</v>
      </c>
      <c r="C54" s="101" t="s">
        <v>169</v>
      </c>
      <c r="D54" s="1282">
        <v>1.3335900000000001</v>
      </c>
      <c r="E54" s="103"/>
      <c r="F54" s="28" t="b">
        <v>1</v>
      </c>
      <c r="G54" s="48"/>
      <c r="H54" s="48"/>
      <c r="I54" s="28"/>
      <c r="J54" s="28"/>
      <c r="K54" s="28"/>
      <c r="L54" s="28"/>
    </row>
    <row r="55" spans="1:12">
      <c r="A55" s="28"/>
      <c r="B55" s="104" t="s">
        <v>170</v>
      </c>
      <c r="C55" s="101" t="s">
        <v>171</v>
      </c>
      <c r="D55" s="102">
        <v>0</v>
      </c>
      <c r="E55" s="103"/>
      <c r="F55" s="28" t="b">
        <v>1</v>
      </c>
      <c r="G55" s="48"/>
      <c r="H55" s="48"/>
      <c r="I55" s="28"/>
      <c r="J55" s="28"/>
      <c r="K55" s="28"/>
      <c r="L55" s="28"/>
    </row>
    <row r="56" spans="1:12" ht="27">
      <c r="A56" s="28"/>
      <c r="B56" s="104" t="s">
        <v>172</v>
      </c>
      <c r="C56" s="101" t="s">
        <v>173</v>
      </c>
      <c r="D56" s="102">
        <v>0</v>
      </c>
      <c r="E56" s="103"/>
      <c r="F56" s="28" t="b">
        <v>1</v>
      </c>
      <c r="G56" s="48"/>
      <c r="H56" s="48"/>
      <c r="I56" s="28"/>
      <c r="J56" s="28"/>
      <c r="K56" s="28"/>
      <c r="L56" s="28"/>
    </row>
    <row r="57" spans="1:12" ht="27">
      <c r="A57" s="28"/>
      <c r="B57" s="104" t="s">
        <v>174</v>
      </c>
      <c r="C57" s="101" t="s">
        <v>175</v>
      </c>
      <c r="D57" s="102">
        <v>0</v>
      </c>
      <c r="E57" s="103"/>
      <c r="F57" s="28" t="b">
        <v>1</v>
      </c>
      <c r="G57" s="48"/>
      <c r="H57" s="48"/>
      <c r="I57" s="28"/>
      <c r="J57" s="28"/>
      <c r="K57" s="28"/>
      <c r="L57" s="28"/>
    </row>
    <row r="58" spans="1:12" ht="93">
      <c r="A58" s="28"/>
      <c r="B58" s="104" t="s">
        <v>176</v>
      </c>
      <c r="C58" s="101" t="s">
        <v>177</v>
      </c>
      <c r="D58" s="102">
        <v>0</v>
      </c>
      <c r="E58" s="105"/>
      <c r="F58" s="28" t="b">
        <v>1</v>
      </c>
      <c r="G58" s="48"/>
      <c r="H58" s="48"/>
      <c r="I58" s="28"/>
      <c r="J58" s="28"/>
      <c r="K58" s="28"/>
      <c r="L58" s="28"/>
    </row>
    <row r="59" spans="1:12">
      <c r="A59" s="28"/>
      <c r="B59" s="104" t="s">
        <v>178</v>
      </c>
      <c r="C59" s="101" t="s">
        <v>179</v>
      </c>
      <c r="D59" s="102">
        <v>0</v>
      </c>
      <c r="E59" s="103"/>
      <c r="F59" s="28" t="b">
        <v>1</v>
      </c>
      <c r="G59" s="48"/>
      <c r="H59" s="48"/>
      <c r="I59" s="28"/>
      <c r="J59" s="28"/>
      <c r="K59" s="28"/>
      <c r="L59" s="28"/>
    </row>
    <row r="60" spans="1:12" ht="40.200000000000003">
      <c r="A60" s="28"/>
      <c r="B60" s="104" t="s">
        <v>180</v>
      </c>
      <c r="C60" s="101" t="s">
        <v>181</v>
      </c>
      <c r="D60" s="102">
        <v>0</v>
      </c>
      <c r="E60" s="103"/>
      <c r="F60" s="28" t="b">
        <v>1</v>
      </c>
      <c r="G60" s="48"/>
      <c r="H60" s="98"/>
      <c r="I60" s="28"/>
      <c r="J60" s="28"/>
      <c r="K60" s="28"/>
      <c r="L60" s="28"/>
    </row>
    <row r="61" spans="1:12" ht="27">
      <c r="A61" s="28"/>
      <c r="B61" s="104" t="s">
        <v>182</v>
      </c>
      <c r="C61" s="101" t="s">
        <v>183</v>
      </c>
      <c r="D61" s="102">
        <v>0</v>
      </c>
      <c r="E61" s="103"/>
      <c r="F61" s="28" t="b">
        <v>1</v>
      </c>
      <c r="G61" s="48"/>
      <c r="H61" s="48"/>
      <c r="I61" s="28"/>
      <c r="J61" s="28"/>
      <c r="K61" s="28"/>
      <c r="L61" s="28"/>
    </row>
    <row r="62" spans="1:12" ht="27">
      <c r="A62" s="28"/>
      <c r="B62" s="104" t="s">
        <v>184</v>
      </c>
      <c r="C62" s="101" t="s">
        <v>185</v>
      </c>
      <c r="D62" s="102">
        <v>0</v>
      </c>
      <c r="E62" s="103"/>
      <c r="F62" s="28" t="b">
        <v>1</v>
      </c>
      <c r="G62" s="48"/>
      <c r="H62" s="48"/>
      <c r="I62" s="28"/>
      <c r="J62" s="28"/>
      <c r="K62" s="28"/>
      <c r="L62" s="28"/>
    </row>
    <row r="63" spans="1:12" ht="27">
      <c r="A63" s="28"/>
      <c r="B63" s="104" t="s">
        <v>186</v>
      </c>
      <c r="C63" s="101" t="s">
        <v>187</v>
      </c>
      <c r="D63" s="102">
        <v>0</v>
      </c>
      <c r="E63" s="103"/>
      <c r="F63" s="28" t="b">
        <v>1</v>
      </c>
      <c r="G63" s="48"/>
      <c r="H63" s="48"/>
      <c r="I63" s="28"/>
      <c r="J63" s="28"/>
      <c r="K63" s="28"/>
      <c r="L63" s="28"/>
    </row>
    <row r="64" spans="1:12" ht="79.8">
      <c r="A64" s="28"/>
      <c r="B64" s="104" t="s">
        <v>188</v>
      </c>
      <c r="C64" s="101" t="s">
        <v>189</v>
      </c>
      <c r="D64" s="1291">
        <f>5.08+0.089916</f>
        <v>5.1699159999999997</v>
      </c>
      <c r="E64" s="103"/>
      <c r="F64" s="28" t="b">
        <v>1</v>
      </c>
      <c r="G64" s="48"/>
      <c r="H64" s="48"/>
      <c r="I64" s="28"/>
      <c r="J64" s="28"/>
      <c r="K64" s="28"/>
      <c r="L64" s="28"/>
    </row>
    <row r="65" spans="1:12" ht="66.599999999999994">
      <c r="A65" s="28"/>
      <c r="B65" s="106" t="s">
        <v>190</v>
      </c>
      <c r="C65" s="101" t="s">
        <v>191</v>
      </c>
      <c r="D65" s="107">
        <v>0.97502999999999995</v>
      </c>
      <c r="E65" s="108"/>
      <c r="F65" s="28" t="b">
        <v>1</v>
      </c>
      <c r="G65" s="48"/>
      <c r="H65" s="48"/>
      <c r="I65" s="28"/>
      <c r="J65" s="28"/>
      <c r="K65" s="28"/>
      <c r="L65" s="28"/>
    </row>
    <row r="66" spans="1:12" ht="40.200000000000003">
      <c r="A66" s="28"/>
      <c r="B66" s="106" t="s">
        <v>192</v>
      </c>
      <c r="C66" s="101" t="s">
        <v>193</v>
      </c>
      <c r="D66" s="107">
        <v>0</v>
      </c>
      <c r="E66" s="108"/>
      <c r="F66" s="28" t="b">
        <v>1</v>
      </c>
      <c r="G66" s="48"/>
      <c r="H66" s="48"/>
      <c r="I66" s="28"/>
      <c r="J66" s="28"/>
      <c r="K66" s="28"/>
      <c r="L66" s="28"/>
    </row>
    <row r="67" spans="1:12" ht="53.4">
      <c r="A67" s="28"/>
      <c r="B67" s="106" t="s">
        <v>194</v>
      </c>
      <c r="C67" s="101" t="s">
        <v>195</v>
      </c>
      <c r="D67" s="107">
        <v>0</v>
      </c>
      <c r="E67" s="108"/>
      <c r="F67" s="28" t="b">
        <v>1</v>
      </c>
      <c r="G67" s="48"/>
      <c r="H67" s="48"/>
      <c r="I67" s="28"/>
      <c r="J67" s="28"/>
      <c r="K67" s="28"/>
      <c r="L67" s="28"/>
    </row>
    <row r="68" spans="1:12" ht="40.200000000000003">
      <c r="A68" s="28"/>
      <c r="B68" s="106" t="s">
        <v>196</v>
      </c>
      <c r="C68" s="101" t="s">
        <v>197</v>
      </c>
      <c r="D68" s="107">
        <v>0</v>
      </c>
      <c r="E68" s="108"/>
      <c r="F68" s="28" t="b">
        <v>1</v>
      </c>
      <c r="G68" s="48"/>
      <c r="H68" s="48"/>
      <c r="I68" s="28"/>
      <c r="J68" s="28"/>
      <c r="K68" s="28"/>
      <c r="L68" s="28"/>
    </row>
    <row r="69" spans="1:12">
      <c r="A69" s="28"/>
      <c r="B69" s="106" t="s">
        <v>198</v>
      </c>
      <c r="C69" s="101" t="s">
        <v>199</v>
      </c>
      <c r="D69" s="107">
        <v>0</v>
      </c>
      <c r="E69" s="108"/>
      <c r="F69" s="28" t="b">
        <v>1</v>
      </c>
      <c r="G69" s="48"/>
      <c r="H69" s="48"/>
      <c r="I69" s="28"/>
      <c r="J69" s="28"/>
      <c r="K69" s="28"/>
      <c r="L69" s="28"/>
    </row>
    <row r="70" spans="1:12" ht="27.6" thickBot="1">
      <c r="A70" s="28"/>
      <c r="B70" s="109" t="s">
        <v>200</v>
      </c>
      <c r="C70" s="110" t="s">
        <v>201</v>
      </c>
      <c r="D70" s="111">
        <v>42.660483775510201</v>
      </c>
      <c r="E70" s="112"/>
      <c r="F70" s="28" t="b">
        <v>1</v>
      </c>
      <c r="G70" s="48"/>
      <c r="H70" s="48"/>
      <c r="I70" s="28"/>
      <c r="J70" s="28"/>
      <c r="K70" s="28"/>
      <c r="L70" s="28"/>
    </row>
    <row r="71" spans="1:12" ht="15" thickBot="1">
      <c r="A71" s="28"/>
      <c r="B71" s="82" t="s">
        <v>202</v>
      </c>
      <c r="C71" s="113" t="s">
        <v>203</v>
      </c>
      <c r="D71" s="1293">
        <f>D10+D30-D39-D46-D50</f>
        <v>-243.97323772486635</v>
      </c>
      <c r="E71" s="84"/>
      <c r="F71" s="28" t="b">
        <v>1</v>
      </c>
      <c r="G71" s="48"/>
      <c r="H71" s="48"/>
      <c r="I71" s="60"/>
      <c r="J71" s="28"/>
      <c r="K71" s="28"/>
      <c r="L71" s="28"/>
    </row>
    <row r="72" spans="1:12" ht="22.8">
      <c r="A72" s="114"/>
      <c r="B72" s="115" t="s">
        <v>76</v>
      </c>
      <c r="C72" s="116" t="s">
        <v>204</v>
      </c>
      <c r="D72" s="117">
        <f>D10-D39</f>
        <v>-313.17786489613684</v>
      </c>
      <c r="E72" s="118"/>
      <c r="F72" s="28" t="b">
        <v>1</v>
      </c>
      <c r="G72" s="48"/>
      <c r="H72" s="119"/>
      <c r="I72" s="60"/>
      <c r="J72" s="114"/>
      <c r="K72" s="114"/>
      <c r="L72" s="114"/>
    </row>
    <row r="73" spans="1:12">
      <c r="A73" s="28"/>
      <c r="B73" s="65" t="s">
        <v>205</v>
      </c>
      <c r="C73" s="86" t="s">
        <v>206</v>
      </c>
      <c r="D73" s="87">
        <f>D11-D40</f>
        <v>-64.317851971989057</v>
      </c>
      <c r="E73" s="68"/>
      <c r="F73" s="28" t="b">
        <v>1</v>
      </c>
      <c r="G73" s="48"/>
      <c r="H73" s="48"/>
      <c r="I73" s="28"/>
      <c r="J73" s="28"/>
      <c r="K73" s="28"/>
      <c r="L73" s="28"/>
    </row>
    <row r="74" spans="1:12">
      <c r="A74" s="28"/>
      <c r="B74" s="65" t="s">
        <v>207</v>
      </c>
      <c r="C74" s="86" t="s">
        <v>208</v>
      </c>
      <c r="D74" s="87">
        <f>D14-D41</f>
        <v>-245.24551652749005</v>
      </c>
      <c r="E74" s="68"/>
      <c r="F74" s="28" t="b">
        <v>1</v>
      </c>
      <c r="G74" s="48"/>
      <c r="H74" s="48"/>
      <c r="I74" s="28"/>
      <c r="J74" s="28"/>
      <c r="K74" s="28"/>
      <c r="L74" s="28"/>
    </row>
    <row r="75" spans="1:12">
      <c r="A75" s="28"/>
      <c r="B75" s="65" t="s">
        <v>209</v>
      </c>
      <c r="C75" s="86" t="s">
        <v>210</v>
      </c>
      <c r="D75" s="87">
        <f>D15-D42</f>
        <v>-144.54016651253949</v>
      </c>
      <c r="E75" s="68"/>
      <c r="F75" s="28" t="b">
        <v>1</v>
      </c>
      <c r="G75" s="48"/>
      <c r="H75" s="48"/>
      <c r="I75" s="28"/>
      <c r="J75" s="28"/>
      <c r="K75" s="28"/>
      <c r="L75" s="28"/>
    </row>
    <row r="76" spans="1:12">
      <c r="A76" s="28"/>
      <c r="B76" s="65" t="s">
        <v>211</v>
      </c>
      <c r="C76" s="86" t="s">
        <v>212</v>
      </c>
      <c r="D76" s="87">
        <f>D18-D43</f>
        <v>-34.712138445672394</v>
      </c>
      <c r="E76" s="68"/>
      <c r="F76" s="28" t="b">
        <v>1</v>
      </c>
      <c r="G76" s="48"/>
      <c r="H76" s="48"/>
      <c r="I76" s="28"/>
      <c r="J76" s="28"/>
      <c r="K76" s="28"/>
      <c r="L76" s="28"/>
    </row>
    <row r="77" spans="1:12">
      <c r="A77" s="28"/>
      <c r="B77" s="65" t="s">
        <v>213</v>
      </c>
      <c r="C77" s="86" t="s">
        <v>214</v>
      </c>
      <c r="D77" s="87">
        <f>D22-D44</f>
        <v>-65.993211569278088</v>
      </c>
      <c r="E77" s="68"/>
      <c r="F77" s="28" t="b">
        <v>1</v>
      </c>
      <c r="G77" s="48"/>
      <c r="H77" s="48"/>
      <c r="I77" s="28"/>
      <c r="J77" s="28"/>
      <c r="K77" s="28"/>
      <c r="L77" s="28"/>
    </row>
    <row r="78" spans="1:12" ht="15" thickBot="1">
      <c r="A78" s="28"/>
      <c r="B78" s="69" t="s">
        <v>215</v>
      </c>
      <c r="C78" s="86" t="s">
        <v>216</v>
      </c>
      <c r="D78" s="87">
        <f>D26-D45</f>
        <v>-3.6144963966575157</v>
      </c>
      <c r="E78" s="68"/>
      <c r="F78" s="28" t="b">
        <v>1</v>
      </c>
      <c r="G78" s="48"/>
      <c r="H78" s="48"/>
      <c r="I78" s="28"/>
      <c r="J78" s="28"/>
      <c r="K78" s="28"/>
      <c r="L78" s="28"/>
    </row>
    <row r="79" spans="1:12">
      <c r="A79" s="28"/>
      <c r="B79" s="61" t="s">
        <v>78</v>
      </c>
      <c r="C79" s="79" t="s">
        <v>217</v>
      </c>
      <c r="D79" s="85">
        <f>D30-D46</f>
        <v>120.03399694678075</v>
      </c>
      <c r="E79" s="64"/>
      <c r="F79" s="28" t="b">
        <v>1</v>
      </c>
      <c r="G79" s="48"/>
      <c r="H79" s="48"/>
      <c r="I79" s="60"/>
      <c r="J79" s="28"/>
      <c r="K79" s="28"/>
      <c r="L79" s="28"/>
    </row>
    <row r="80" spans="1:12">
      <c r="A80" s="28"/>
      <c r="B80" s="69" t="s">
        <v>80</v>
      </c>
      <c r="C80" s="96" t="s">
        <v>218</v>
      </c>
      <c r="D80" s="87">
        <f>D32-D47</f>
        <v>36.119516646182745</v>
      </c>
      <c r="E80" s="72"/>
      <c r="F80" s="28" t="b">
        <v>1</v>
      </c>
      <c r="G80" s="48"/>
      <c r="H80" s="48"/>
      <c r="I80" s="28"/>
      <c r="J80" s="28"/>
      <c r="K80" s="28"/>
      <c r="L80" s="28"/>
    </row>
    <row r="81" spans="1:12">
      <c r="A81" s="28"/>
      <c r="B81" s="65" t="s">
        <v>82</v>
      </c>
      <c r="C81" s="86" t="s">
        <v>219</v>
      </c>
      <c r="D81" s="87">
        <f>D33-D48+D34</f>
        <v>1.1814053003397601E-5</v>
      </c>
      <c r="E81" s="68"/>
      <c r="F81" s="28" t="b">
        <v>1</v>
      </c>
      <c r="G81" s="48"/>
      <c r="H81" s="48"/>
      <c r="I81" s="28"/>
      <c r="J81" s="28"/>
      <c r="K81" s="28"/>
      <c r="L81" s="28"/>
    </row>
    <row r="82" spans="1:12">
      <c r="A82" s="28"/>
      <c r="B82" s="69" t="s">
        <v>220</v>
      </c>
      <c r="C82" s="96" t="s">
        <v>221</v>
      </c>
      <c r="D82" s="97">
        <f>IFERROR(D35-D49,"-")</f>
        <v>83.914468486545019</v>
      </c>
      <c r="E82" s="72"/>
      <c r="F82" s="28" t="b">
        <v>1</v>
      </c>
      <c r="G82" s="48"/>
      <c r="H82" s="48"/>
      <c r="I82" s="28"/>
      <c r="J82" s="28"/>
      <c r="K82" s="28"/>
      <c r="L82" s="28"/>
    </row>
    <row r="83" spans="1:12" ht="15" thickBot="1">
      <c r="A83" s="28"/>
      <c r="B83" s="120" t="s">
        <v>84</v>
      </c>
      <c r="C83" s="121" t="s">
        <v>222</v>
      </c>
      <c r="D83" s="122">
        <v>0</v>
      </c>
      <c r="E83" s="72"/>
      <c r="F83" s="28" t="b">
        <v>1</v>
      </c>
      <c r="G83" s="48"/>
      <c r="H83" s="48"/>
      <c r="I83" s="28"/>
      <c r="J83" s="28"/>
      <c r="K83" s="28"/>
      <c r="L83" s="28"/>
    </row>
    <row r="84" spans="1:12" ht="15" thickBot="1">
      <c r="A84" s="28"/>
      <c r="B84" s="82" t="s">
        <v>223</v>
      </c>
      <c r="C84" s="83" t="s">
        <v>224</v>
      </c>
      <c r="D84" s="123">
        <v>0</v>
      </c>
      <c r="E84" s="84"/>
      <c r="F84" s="28" t="b">
        <v>1</v>
      </c>
      <c r="G84" s="48"/>
      <c r="H84" s="48"/>
      <c r="I84" s="60"/>
      <c r="J84" s="28"/>
      <c r="K84" s="28"/>
      <c r="L84" s="28"/>
    </row>
    <row r="85" spans="1:12" ht="15" thickBot="1">
      <c r="A85" s="28"/>
      <c r="B85" s="82" t="s">
        <v>225</v>
      </c>
      <c r="C85" s="83" t="s">
        <v>226</v>
      </c>
      <c r="D85" s="1293">
        <f>IFERROR(D71+D83-D84,"-")</f>
        <v>-243.97323772486635</v>
      </c>
      <c r="E85" s="84"/>
      <c r="F85" s="28" t="b">
        <v>1</v>
      </c>
      <c r="G85" s="48"/>
      <c r="H85" s="48"/>
      <c r="I85" s="60"/>
      <c r="J85" s="28"/>
      <c r="K85" s="28"/>
      <c r="L85" s="28"/>
    </row>
    <row r="86" spans="1:12" ht="22.8">
      <c r="A86" s="28"/>
      <c r="B86" s="115" t="s">
        <v>227</v>
      </c>
      <c r="C86" s="116" t="s">
        <v>228</v>
      </c>
      <c r="D86" s="124">
        <f>IFERROR((D72/D10)*100,"-")</f>
        <v>-34.597269038762335</v>
      </c>
      <c r="E86" s="125"/>
      <c r="F86" s="28" t="b">
        <v>1</v>
      </c>
      <c r="G86" s="48"/>
      <c r="H86" s="48"/>
      <c r="I86" s="28"/>
      <c r="J86" s="28"/>
      <c r="K86" s="28"/>
      <c r="L86" s="28"/>
    </row>
    <row r="87" spans="1:12">
      <c r="A87" s="28"/>
      <c r="B87" s="65" t="s">
        <v>229</v>
      </c>
      <c r="C87" s="86" t="s">
        <v>230</v>
      </c>
      <c r="D87" s="87">
        <f>IFERROR((D73/D11)*100,"-")</f>
        <v>-21.264104632462235</v>
      </c>
      <c r="E87" s="68"/>
      <c r="F87" s="28" t="b">
        <v>1</v>
      </c>
      <c r="G87" s="48"/>
      <c r="H87" s="48"/>
      <c r="I87" s="28"/>
      <c r="J87" s="28"/>
      <c r="K87" s="28"/>
      <c r="L87" s="28"/>
    </row>
    <row r="88" spans="1:12">
      <c r="A88" s="28"/>
      <c r="B88" s="65" t="s">
        <v>231</v>
      </c>
      <c r="C88" s="86" t="s">
        <v>232</v>
      </c>
      <c r="D88" s="87">
        <f>IFERROR((D74/D14)*100,"-")</f>
        <v>-40.688556576757293</v>
      </c>
      <c r="E88" s="68"/>
      <c r="F88" s="28" t="b">
        <v>1</v>
      </c>
      <c r="G88" s="48"/>
      <c r="H88" s="48"/>
      <c r="I88" s="28"/>
      <c r="J88" s="28"/>
      <c r="K88" s="28"/>
      <c r="L88" s="28"/>
    </row>
    <row r="89" spans="1:12">
      <c r="A89" s="28"/>
      <c r="B89" s="65" t="s">
        <v>233</v>
      </c>
      <c r="C89" s="86" t="s">
        <v>234</v>
      </c>
      <c r="D89" s="87">
        <f>IFERROR((D75/D15)*100,"-")</f>
        <v>-69.195604258983465</v>
      </c>
      <c r="E89" s="68"/>
      <c r="F89" s="28" t="b">
        <v>1</v>
      </c>
      <c r="G89" s="48"/>
      <c r="H89" s="48"/>
      <c r="I89" s="28"/>
      <c r="J89" s="28"/>
      <c r="K89" s="28"/>
      <c r="L89" s="28"/>
    </row>
    <row r="90" spans="1:12">
      <c r="A90" s="28"/>
      <c r="B90" s="65" t="s">
        <v>235</v>
      </c>
      <c r="C90" s="86" t="s">
        <v>236</v>
      </c>
      <c r="D90" s="87">
        <f>IFERROR((D76/D18)*100,"-")</f>
        <v>-9.5226486170811704</v>
      </c>
      <c r="E90" s="68"/>
      <c r="F90" s="28" t="b">
        <v>1</v>
      </c>
      <c r="G90" s="48"/>
      <c r="H90" s="48"/>
      <c r="I90" s="28"/>
      <c r="J90" s="28"/>
      <c r="K90" s="28"/>
      <c r="L90" s="28"/>
    </row>
    <row r="91" spans="1:12">
      <c r="A91" s="28"/>
      <c r="B91" s="65" t="s">
        <v>237</v>
      </c>
      <c r="C91" s="86" t="s">
        <v>238</v>
      </c>
      <c r="D91" s="87">
        <f>IFERROR((D77/D22)*100,"-")</f>
        <v>-225.00183823991296</v>
      </c>
      <c r="E91" s="68"/>
      <c r="F91" s="28" t="b">
        <v>1</v>
      </c>
      <c r="G91" s="48"/>
      <c r="H91" s="48"/>
      <c r="I91" s="28"/>
      <c r="J91" s="28"/>
      <c r="K91" s="28"/>
      <c r="L91" s="28"/>
    </row>
    <row r="92" spans="1:12" ht="24.6" thickBot="1">
      <c r="A92" s="28"/>
      <c r="B92" s="126" t="s">
        <v>239</v>
      </c>
      <c r="C92" s="127" t="s">
        <v>240</v>
      </c>
      <c r="D92" s="128" t="str">
        <f>IFERROR((D78/D26)*100,"0")</f>
        <v>0</v>
      </c>
      <c r="E92" s="129"/>
      <c r="F92" s="28" t="b">
        <v>1</v>
      </c>
      <c r="G92" s="48"/>
      <c r="H92" s="48"/>
      <c r="I92" s="28"/>
      <c r="J92" s="28"/>
      <c r="K92" s="28"/>
      <c r="L92" s="28"/>
    </row>
    <row r="93" spans="1:12">
      <c r="A93" s="28"/>
      <c r="B93" s="28"/>
      <c r="C93" s="28"/>
      <c r="D93" s="28"/>
      <c r="E93" s="28"/>
      <c r="F93" s="28"/>
      <c r="G93" s="48"/>
      <c r="H93" s="48"/>
      <c r="I93" s="28"/>
      <c r="J93" s="28"/>
      <c r="K93" s="28"/>
      <c r="L93" s="28"/>
    </row>
    <row r="94" spans="1:12">
      <c r="A94" s="28"/>
      <c r="B94" s="28"/>
      <c r="C94" s="94" t="s">
        <v>241</v>
      </c>
      <c r="D94" s="28"/>
      <c r="E94" s="28"/>
      <c r="F94" s="28"/>
      <c r="G94" s="48"/>
      <c r="H94" s="48"/>
      <c r="I94" s="28"/>
      <c r="J94" s="28"/>
      <c r="K94" s="28"/>
      <c r="L94" s="28"/>
    </row>
    <row r="95" spans="1:12">
      <c r="A95" s="28"/>
      <c r="B95" s="28"/>
      <c r="C95" s="94" t="s">
        <v>242</v>
      </c>
      <c r="D95" s="28"/>
      <c r="E95" s="28"/>
      <c r="F95" s="28"/>
      <c r="G95" s="48"/>
      <c r="H95" s="48"/>
      <c r="I95" s="28"/>
      <c r="J95" s="28"/>
      <c r="K95" s="28"/>
      <c r="L95" s="28"/>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6B802-9728-43A2-A431-A2E95B853196}">
  <sheetPr>
    <tabColor theme="0" tint="-0.14999847407452621"/>
  </sheetPr>
  <dimension ref="A2:AG239"/>
  <sheetViews>
    <sheetView showGridLines="0" topLeftCell="A7" workbookViewId="0">
      <selection activeCell="F236" sqref="F236"/>
    </sheetView>
  </sheetViews>
  <sheetFormatPr defaultRowHeight="14.4"/>
  <cols>
    <col min="1" max="1" width="9.109375" style="131"/>
    <col min="2" max="2" width="12.88671875" customWidth="1"/>
    <col min="3" max="3" width="71.109375" customWidth="1"/>
    <col min="4" max="4" width="13.5546875" customWidth="1"/>
    <col min="5" max="5" width="13.44140625" customWidth="1"/>
    <col min="6" max="6" width="16.88671875" customWidth="1"/>
    <col min="7" max="7" width="16.109375" customWidth="1"/>
    <col min="8" max="8" width="15.6640625" customWidth="1"/>
    <col min="9" max="9" width="14" customWidth="1"/>
    <col min="10" max="11" width="14.5546875" customWidth="1"/>
    <col min="12" max="12" width="16.5546875" customWidth="1"/>
    <col min="13" max="14" width="15" customWidth="1"/>
    <col min="15" max="15" width="14" customWidth="1"/>
    <col min="16" max="16" width="17.88671875" customWidth="1"/>
    <col min="17" max="17" width="23.33203125" customWidth="1"/>
    <col min="18" max="18" width="0" style="131" hidden="1" customWidth="1"/>
    <col min="19" max="21" width="9.109375" style="131"/>
    <col min="22" max="22" width="9.5546875" bestFit="1" customWidth="1"/>
  </cols>
  <sheetData>
    <row r="2" spans="1:33" ht="72">
      <c r="C2" s="28" t="s">
        <v>1262</v>
      </c>
      <c r="E2" s="132"/>
      <c r="O2" s="132"/>
      <c r="Q2" s="1" t="s">
        <v>243</v>
      </c>
    </row>
    <row r="3" spans="1:33">
      <c r="C3" s="28" t="s">
        <v>1357</v>
      </c>
    </row>
    <row r="4" spans="1:33">
      <c r="C4" s="133"/>
    </row>
    <row r="5" spans="1:33" ht="15.6">
      <c r="C5" s="134" t="s">
        <v>244</v>
      </c>
    </row>
    <row r="6" spans="1:33" ht="15" thickBot="1"/>
    <row r="7" spans="1:33" ht="106.2" thickBot="1">
      <c r="B7" s="135" t="s">
        <v>2</v>
      </c>
      <c r="C7" s="136" t="s">
        <v>245</v>
      </c>
      <c r="D7" s="137" t="s">
        <v>246</v>
      </c>
      <c r="E7" s="138" t="s">
        <v>247</v>
      </c>
      <c r="F7" s="139" t="s">
        <v>248</v>
      </c>
      <c r="G7" s="140" t="s">
        <v>249</v>
      </c>
      <c r="H7" s="141" t="s">
        <v>250</v>
      </c>
      <c r="I7" s="137" t="s">
        <v>251</v>
      </c>
      <c r="J7" s="139" t="s">
        <v>252</v>
      </c>
      <c r="K7" s="140" t="s">
        <v>253</v>
      </c>
      <c r="L7" s="142" t="s">
        <v>254</v>
      </c>
      <c r="M7" s="143" t="s">
        <v>255</v>
      </c>
      <c r="N7" s="137" t="s">
        <v>256</v>
      </c>
      <c r="O7" s="144" t="s">
        <v>257</v>
      </c>
      <c r="P7" s="141" t="s">
        <v>258</v>
      </c>
      <c r="Q7" s="138" t="s">
        <v>259</v>
      </c>
      <c r="R7" s="130"/>
    </row>
    <row r="8" spans="1:33" ht="15.6" thickTop="1" thickBot="1">
      <c r="B8" s="145" t="s">
        <v>48</v>
      </c>
      <c r="C8" s="146" t="s">
        <v>260</v>
      </c>
      <c r="D8" s="147"/>
      <c r="E8" s="148"/>
      <c r="F8" s="149"/>
      <c r="G8" s="150"/>
      <c r="H8" s="151"/>
      <c r="I8" s="147"/>
      <c r="J8" s="149"/>
      <c r="K8" s="150"/>
      <c r="L8" s="150"/>
      <c r="M8" s="152"/>
      <c r="N8" s="147"/>
      <c r="O8" s="153"/>
      <c r="P8" s="151"/>
      <c r="Q8" s="147"/>
      <c r="R8" s="130"/>
    </row>
    <row r="9" spans="1:33" ht="15.6" thickTop="1" thickBot="1">
      <c r="B9" s="154" t="s">
        <v>93</v>
      </c>
      <c r="C9" s="155" t="s">
        <v>261</v>
      </c>
      <c r="D9" s="156">
        <f>D28</f>
        <v>0</v>
      </c>
      <c r="E9" s="157">
        <f>E28</f>
        <v>0</v>
      </c>
      <c r="F9" s="158">
        <f>F28</f>
        <v>0</v>
      </c>
      <c r="G9" s="159">
        <f t="shared" ref="E9:Q10" si="0">G28</f>
        <v>0</v>
      </c>
      <c r="H9" s="160">
        <f t="shared" si="0"/>
        <v>0</v>
      </c>
      <c r="I9" s="156">
        <f t="shared" si="0"/>
        <v>0</v>
      </c>
      <c r="J9" s="158">
        <f t="shared" si="0"/>
        <v>0</v>
      </c>
      <c r="K9" s="159">
        <f t="shared" si="0"/>
        <v>0</v>
      </c>
      <c r="L9" s="159">
        <f t="shared" si="0"/>
        <v>0</v>
      </c>
      <c r="M9" s="161">
        <f t="shared" si="0"/>
        <v>0</v>
      </c>
      <c r="N9" s="156">
        <f>O9+P9</f>
        <v>0</v>
      </c>
      <c r="O9" s="162">
        <f>O28</f>
        <v>0</v>
      </c>
      <c r="P9" s="160">
        <f t="shared" si="0"/>
        <v>0</v>
      </c>
      <c r="Q9" s="156">
        <f t="shared" si="0"/>
        <v>0</v>
      </c>
      <c r="R9" s="130"/>
      <c r="S9" s="131" t="e">
        <f>D9ž</f>
        <v>#NAME?</v>
      </c>
      <c r="T9" s="130" t="b">
        <v>1</v>
      </c>
      <c r="U9" s="130" t="b">
        <v>1</v>
      </c>
      <c r="V9" s="130" t="b">
        <v>1</v>
      </c>
      <c r="W9" s="130" t="b">
        <v>1</v>
      </c>
      <c r="X9" s="130" t="b">
        <v>1</v>
      </c>
      <c r="Y9" s="130" t="b">
        <v>1</v>
      </c>
      <c r="Z9" s="130" t="b">
        <v>1</v>
      </c>
      <c r="AA9" s="130" t="b">
        <v>1</v>
      </c>
      <c r="AB9" s="130" t="b">
        <v>1</v>
      </c>
      <c r="AC9" s="130" t="b">
        <v>1</v>
      </c>
      <c r="AD9" s="130" t="b">
        <v>1</v>
      </c>
      <c r="AE9" s="130" t="b">
        <v>1</v>
      </c>
      <c r="AF9" s="130" t="b">
        <v>1</v>
      </c>
      <c r="AG9" s="130" t="b">
        <v>1</v>
      </c>
    </row>
    <row r="10" spans="1:33" ht="15" thickBot="1">
      <c r="B10" s="163" t="s">
        <v>99</v>
      </c>
      <c r="C10" s="164" t="s">
        <v>262</v>
      </c>
      <c r="D10" s="165">
        <f>D29</f>
        <v>0</v>
      </c>
      <c r="E10" s="166">
        <f t="shared" si="0"/>
        <v>0</v>
      </c>
      <c r="F10" s="167">
        <f t="shared" si="0"/>
        <v>0</v>
      </c>
      <c r="G10" s="168">
        <f t="shared" si="0"/>
        <v>0</v>
      </c>
      <c r="H10" s="169">
        <f t="shared" si="0"/>
        <v>0</v>
      </c>
      <c r="I10" s="165">
        <f t="shared" si="0"/>
        <v>0</v>
      </c>
      <c r="J10" s="167">
        <f t="shared" si="0"/>
        <v>0</v>
      </c>
      <c r="K10" s="168">
        <f t="shared" si="0"/>
        <v>0</v>
      </c>
      <c r="L10" s="168">
        <f t="shared" si="0"/>
        <v>0</v>
      </c>
      <c r="M10" s="170">
        <f t="shared" si="0"/>
        <v>0</v>
      </c>
      <c r="N10" s="165">
        <f t="shared" ref="N10:N73" si="1">O10+P10</f>
        <v>0</v>
      </c>
      <c r="O10" s="171">
        <f>O29</f>
        <v>0</v>
      </c>
      <c r="P10" s="169">
        <f t="shared" si="0"/>
        <v>0</v>
      </c>
      <c r="Q10" s="165">
        <f t="shared" si="0"/>
        <v>0</v>
      </c>
      <c r="R10" s="130"/>
      <c r="T10" s="130" t="b">
        <v>1</v>
      </c>
      <c r="U10" s="130" t="b">
        <v>1</v>
      </c>
      <c r="V10" s="130" t="b">
        <v>1</v>
      </c>
      <c r="W10" s="130" t="b">
        <v>1</v>
      </c>
      <c r="X10" s="130" t="b">
        <v>1</v>
      </c>
      <c r="Y10" s="130" t="b">
        <v>1</v>
      </c>
      <c r="Z10" s="130" t="b">
        <v>1</v>
      </c>
      <c r="AA10" s="130" t="b">
        <v>1</v>
      </c>
      <c r="AB10" s="130" t="b">
        <v>1</v>
      </c>
      <c r="AC10" s="130" t="b">
        <v>1</v>
      </c>
      <c r="AD10" s="130" t="b">
        <v>1</v>
      </c>
      <c r="AE10" s="130" t="b">
        <v>1</v>
      </c>
      <c r="AF10" s="130" t="b">
        <v>1</v>
      </c>
      <c r="AG10" s="130" t="b">
        <v>1</v>
      </c>
    </row>
    <row r="11" spans="1:33">
      <c r="B11" s="163" t="s">
        <v>121</v>
      </c>
      <c r="C11" s="164" t="s">
        <v>263</v>
      </c>
      <c r="D11" s="1318">
        <f>D32+D89+D185</f>
        <v>134.17674999567097</v>
      </c>
      <c r="E11" s="166">
        <f t="shared" ref="E11:Q11" si="2">E32+E89+E185</f>
        <v>34.683845929763031</v>
      </c>
      <c r="F11" s="167">
        <f t="shared" si="2"/>
        <v>19.246361359433276</v>
      </c>
      <c r="G11" s="168">
        <f t="shared" si="2"/>
        <v>3.1152291695022298</v>
      </c>
      <c r="H11" s="169">
        <f t="shared" si="2"/>
        <v>12.32225540082753</v>
      </c>
      <c r="I11" s="165">
        <f t="shared" si="2"/>
        <v>99.147507488291055</v>
      </c>
      <c r="J11" s="167">
        <f t="shared" si="2"/>
        <v>27.039576072442106</v>
      </c>
      <c r="K11" s="168">
        <f t="shared" si="2"/>
        <v>71.646448923037653</v>
      </c>
      <c r="L11" s="168">
        <f t="shared" si="2"/>
        <v>0.46148249281129011</v>
      </c>
      <c r="M11" s="170">
        <f t="shared" si="2"/>
        <v>1.7498628498230313E-2</v>
      </c>
      <c r="N11" s="165">
        <f t="shared" si="1"/>
        <v>0.18085560236308951</v>
      </c>
      <c r="O11" s="171">
        <f>O32+O89+O185</f>
        <v>0.18085560236308951</v>
      </c>
      <c r="P11" s="169">
        <f t="shared" si="2"/>
        <v>0</v>
      </c>
      <c r="Q11" s="165">
        <f t="shared" si="2"/>
        <v>0.14704234675558958</v>
      </c>
      <c r="R11" s="130"/>
      <c r="T11" s="172">
        <v>6.0312000000000126</v>
      </c>
      <c r="U11" s="172">
        <v>1.7336264781531625</v>
      </c>
      <c r="V11" s="172">
        <v>0.32566430723653284</v>
      </c>
      <c r="W11" s="172">
        <v>0.39197641557624774</v>
      </c>
      <c r="X11" s="172">
        <v>1.0159857553403864</v>
      </c>
      <c r="Y11" s="172">
        <v>3.9783164085202856</v>
      </c>
      <c r="Z11" s="172">
        <v>1.8625284327337006</v>
      </c>
      <c r="AA11" s="172">
        <v>1.5913197242361576</v>
      </c>
      <c r="AB11" s="172">
        <v>0.5244682515504222</v>
      </c>
      <c r="AC11" s="172">
        <v>0</v>
      </c>
      <c r="AD11" s="172">
        <v>0.24891343767256366</v>
      </c>
      <c r="AE11" s="172">
        <v>0.24891343767256366</v>
      </c>
      <c r="AF11" s="172">
        <v>0</v>
      </c>
      <c r="AG11" s="172">
        <v>7.0343675653986859E-2</v>
      </c>
    </row>
    <row r="12" spans="1:33" ht="27" thickBot="1">
      <c r="A12" s="173"/>
      <c r="B12" s="174" t="s">
        <v>123</v>
      </c>
      <c r="C12" s="175" t="s">
        <v>264</v>
      </c>
      <c r="D12" s="1266">
        <f t="shared" ref="D12:Q12" si="3">D33+D90</f>
        <v>128.91816747667099</v>
      </c>
      <c r="E12" s="177">
        <f t="shared" si="3"/>
        <v>33.184749677809997</v>
      </c>
      <c r="F12" s="178">
        <f t="shared" si="3"/>
        <v>18.94807076791</v>
      </c>
      <c r="G12" s="179">
        <f t="shared" si="3"/>
        <v>2.8682126081799999</v>
      </c>
      <c r="H12" s="180">
        <f t="shared" si="3"/>
        <v>11.36846630172</v>
      </c>
      <c r="I12" s="176">
        <f t="shared" si="3"/>
        <v>95.733417798860998</v>
      </c>
      <c r="J12" s="178">
        <f t="shared" si="3"/>
        <v>25.451773119999999</v>
      </c>
      <c r="K12" s="179">
        <f t="shared" si="3"/>
        <v>70.281644678860999</v>
      </c>
      <c r="L12" s="179">
        <f t="shared" si="3"/>
        <v>0</v>
      </c>
      <c r="M12" s="181">
        <f t="shared" si="3"/>
        <v>0</v>
      </c>
      <c r="N12" s="176">
        <f t="shared" si="1"/>
        <v>0</v>
      </c>
      <c r="O12" s="182">
        <f>O33+O90</f>
        <v>0</v>
      </c>
      <c r="P12" s="180">
        <f t="shared" si="3"/>
        <v>0</v>
      </c>
      <c r="Q12" s="176">
        <f t="shared" si="3"/>
        <v>0</v>
      </c>
      <c r="R12" s="130"/>
      <c r="T12" s="130" t="b">
        <v>1</v>
      </c>
      <c r="U12" s="130" t="b">
        <v>1</v>
      </c>
      <c r="V12" s="130" t="b">
        <v>1</v>
      </c>
      <c r="W12" s="130" t="b">
        <v>1</v>
      </c>
      <c r="X12" s="130" t="b">
        <v>1</v>
      </c>
      <c r="Y12" s="130" t="b">
        <v>1</v>
      </c>
      <c r="Z12" s="130" t="b">
        <v>1</v>
      </c>
      <c r="AA12" s="130" t="b">
        <v>1</v>
      </c>
      <c r="AB12" s="130" t="b">
        <v>1</v>
      </c>
      <c r="AC12" s="130" t="b">
        <v>1</v>
      </c>
      <c r="AD12" s="130" t="b">
        <v>1</v>
      </c>
      <c r="AE12" s="130" t="b">
        <v>1</v>
      </c>
      <c r="AF12" s="130" t="b">
        <v>1</v>
      </c>
      <c r="AG12" s="130" t="b">
        <v>1</v>
      </c>
    </row>
    <row r="13" spans="1:33" ht="15" thickBot="1">
      <c r="B13" s="163" t="s">
        <v>265</v>
      </c>
      <c r="C13" s="164" t="s">
        <v>266</v>
      </c>
      <c r="D13" s="165">
        <f>D35</f>
        <v>24.99</v>
      </c>
      <c r="E13" s="166">
        <f t="shared" ref="E13:Q13" si="4">E35</f>
        <v>0</v>
      </c>
      <c r="F13" s="167">
        <f t="shared" si="4"/>
        <v>0</v>
      </c>
      <c r="G13" s="168">
        <f t="shared" si="4"/>
        <v>0</v>
      </c>
      <c r="H13" s="169">
        <f t="shared" si="4"/>
        <v>0</v>
      </c>
      <c r="I13" s="165">
        <f t="shared" si="4"/>
        <v>24.99</v>
      </c>
      <c r="J13" s="167">
        <f t="shared" si="4"/>
        <v>0</v>
      </c>
      <c r="K13" s="168">
        <f t="shared" si="4"/>
        <v>24.99</v>
      </c>
      <c r="L13" s="168">
        <f t="shared" si="4"/>
        <v>0</v>
      </c>
      <c r="M13" s="170">
        <f t="shared" si="4"/>
        <v>0</v>
      </c>
      <c r="N13" s="165">
        <f t="shared" si="1"/>
        <v>0</v>
      </c>
      <c r="O13" s="171">
        <f>O35</f>
        <v>0</v>
      </c>
      <c r="P13" s="169">
        <f t="shared" si="4"/>
        <v>0</v>
      </c>
      <c r="Q13" s="165">
        <f t="shared" si="4"/>
        <v>0</v>
      </c>
      <c r="R13" s="130"/>
      <c r="T13" s="130" t="b">
        <v>1</v>
      </c>
      <c r="U13" s="130" t="b">
        <v>1</v>
      </c>
      <c r="V13" s="130" t="b">
        <v>1</v>
      </c>
      <c r="W13" s="130" t="b">
        <v>1</v>
      </c>
      <c r="X13" s="130" t="b">
        <v>1</v>
      </c>
      <c r="Y13" s="130" t="b">
        <v>1</v>
      </c>
      <c r="Z13" s="130" t="b">
        <v>1</v>
      </c>
      <c r="AA13" s="130" t="b">
        <v>1</v>
      </c>
      <c r="AB13" s="130" t="b">
        <v>1</v>
      </c>
      <c r="AC13" s="130" t="b">
        <v>1</v>
      </c>
      <c r="AD13" s="130" t="b">
        <v>1</v>
      </c>
      <c r="AE13" s="130" t="b">
        <v>1</v>
      </c>
      <c r="AF13" s="130" t="b">
        <v>1</v>
      </c>
      <c r="AG13" s="130" t="b">
        <v>1</v>
      </c>
    </row>
    <row r="14" spans="1:33">
      <c r="B14" s="163" t="s">
        <v>267</v>
      </c>
      <c r="C14" s="164" t="s">
        <v>268</v>
      </c>
      <c r="D14" s="388">
        <f>D43+D97+D192</f>
        <v>105.69066000000001</v>
      </c>
      <c r="E14" s="166">
        <f t="shared" ref="E14:Q15" si="5">E43+E97+E192</f>
        <v>32.602505093455626</v>
      </c>
      <c r="F14" s="167">
        <f t="shared" si="5"/>
        <v>1.3035013137723956</v>
      </c>
      <c r="G14" s="168">
        <f t="shared" si="5"/>
        <v>4.342241759939637</v>
      </c>
      <c r="H14" s="169">
        <f t="shared" si="5"/>
        <v>26.956762019743593</v>
      </c>
      <c r="I14" s="165">
        <f t="shared" si="5"/>
        <v>63.824828104101293</v>
      </c>
      <c r="J14" s="167">
        <f t="shared" si="5"/>
        <v>34.219971367698157</v>
      </c>
      <c r="K14" s="168">
        <f t="shared" si="5"/>
        <v>16.720741568476289</v>
      </c>
      <c r="L14" s="168">
        <f t="shared" si="5"/>
        <v>12.884115167926856</v>
      </c>
      <c r="M14" s="170">
        <f t="shared" si="5"/>
        <v>1.3643408529990313</v>
      </c>
      <c r="N14" s="165">
        <f t="shared" si="1"/>
        <v>2.2918470954068994E-2</v>
      </c>
      <c r="O14" s="171">
        <f>O43+O97+O192</f>
        <v>2.2918470954068994E-2</v>
      </c>
      <c r="P14" s="169">
        <f t="shared" si="5"/>
        <v>0</v>
      </c>
      <c r="Q14" s="165">
        <f t="shared" si="5"/>
        <v>7.8760674784899747</v>
      </c>
      <c r="R14" s="130"/>
      <c r="T14" s="130" t="b">
        <v>1</v>
      </c>
      <c r="U14" s="130" t="b">
        <v>1</v>
      </c>
      <c r="V14" s="130" t="b">
        <v>1</v>
      </c>
      <c r="W14" s="130" t="b">
        <v>1</v>
      </c>
      <c r="X14" s="130" t="b">
        <v>1</v>
      </c>
      <c r="Y14" s="130" t="b">
        <v>1</v>
      </c>
      <c r="Z14" s="130" t="b">
        <v>1</v>
      </c>
      <c r="AA14" s="130" t="b">
        <v>1</v>
      </c>
      <c r="AB14" s="130" t="b">
        <v>1</v>
      </c>
      <c r="AC14" s="130" t="b">
        <v>1</v>
      </c>
      <c r="AD14" s="130" t="b">
        <v>1</v>
      </c>
      <c r="AE14" s="130" t="b">
        <v>1</v>
      </c>
      <c r="AF14" s="130" t="b">
        <v>1</v>
      </c>
      <c r="AG14" s="130" t="b">
        <v>1</v>
      </c>
    </row>
    <row r="15" spans="1:33">
      <c r="A15" s="173"/>
      <c r="B15" s="183" t="s">
        <v>269</v>
      </c>
      <c r="C15" s="184" t="s">
        <v>270</v>
      </c>
      <c r="D15" s="1267">
        <f>D44+D98+D193</f>
        <v>57.527300000000011</v>
      </c>
      <c r="E15" s="186">
        <f t="shared" si="5"/>
        <v>21.982811786053844</v>
      </c>
      <c r="F15" s="187">
        <f t="shared" si="5"/>
        <v>1.0025068685595515</v>
      </c>
      <c r="G15" s="188">
        <f t="shared" si="5"/>
        <v>0.77396150924146667</v>
      </c>
      <c r="H15" s="189">
        <f t="shared" si="5"/>
        <v>20.206343408252824</v>
      </c>
      <c r="I15" s="185">
        <f t="shared" si="5"/>
        <v>28.145207825053831</v>
      </c>
      <c r="J15" s="187">
        <f t="shared" si="5"/>
        <v>18.723844285297293</v>
      </c>
      <c r="K15" s="188">
        <f t="shared" si="5"/>
        <v>5.9113464116918069</v>
      </c>
      <c r="L15" s="188">
        <f t="shared" si="5"/>
        <v>3.5100171280647312</v>
      </c>
      <c r="M15" s="190">
        <f t="shared" si="5"/>
        <v>1.3635022896855107</v>
      </c>
      <c r="N15" s="185">
        <f t="shared" si="1"/>
        <v>1.3941133964193258E-2</v>
      </c>
      <c r="O15" s="191">
        <f>O44+O98+O193</f>
        <v>1.3941133964193258E-2</v>
      </c>
      <c r="P15" s="189">
        <f t="shared" si="5"/>
        <v>0</v>
      </c>
      <c r="Q15" s="185">
        <f t="shared" si="5"/>
        <v>6.0218369652426258</v>
      </c>
      <c r="R15" s="130"/>
      <c r="T15" s="130" t="b">
        <v>1</v>
      </c>
      <c r="U15" s="130" t="b">
        <v>1</v>
      </c>
      <c r="V15" s="130" t="b">
        <v>1</v>
      </c>
      <c r="W15" s="130" t="b">
        <v>1</v>
      </c>
      <c r="X15" s="130" t="b">
        <v>1</v>
      </c>
      <c r="Y15" s="130" t="b">
        <v>1</v>
      </c>
      <c r="Z15" s="130" t="b">
        <v>1</v>
      </c>
      <c r="AA15" s="130" t="b">
        <v>1</v>
      </c>
      <c r="AB15" s="130" t="b">
        <v>1</v>
      </c>
      <c r="AC15" s="130" t="b">
        <v>1</v>
      </c>
      <c r="AD15" s="130" t="b">
        <v>1</v>
      </c>
      <c r="AE15" s="130" t="b">
        <v>1</v>
      </c>
      <c r="AF15" s="130" t="b">
        <v>1</v>
      </c>
      <c r="AG15" s="130" t="b">
        <v>1</v>
      </c>
    </row>
    <row r="16" spans="1:33">
      <c r="A16" s="173"/>
      <c r="B16" s="192" t="s">
        <v>271</v>
      </c>
      <c r="C16" s="193" t="s">
        <v>272</v>
      </c>
      <c r="D16" s="1280">
        <f t="shared" ref="D16:Q16" si="6">D47+D101+D196</f>
        <v>4.7362799999999998</v>
      </c>
      <c r="E16" s="195">
        <f t="shared" si="6"/>
        <v>4.7362799999999998</v>
      </c>
      <c r="F16" s="196">
        <f t="shared" si="6"/>
        <v>0</v>
      </c>
      <c r="G16" s="197">
        <f t="shared" si="6"/>
        <v>0</v>
      </c>
      <c r="H16" s="198">
        <f t="shared" si="6"/>
        <v>4.7362799999999998</v>
      </c>
      <c r="I16" s="194">
        <f t="shared" si="6"/>
        <v>0</v>
      </c>
      <c r="J16" s="196">
        <f t="shared" si="6"/>
        <v>0</v>
      </c>
      <c r="K16" s="197">
        <f t="shared" si="6"/>
        <v>0</v>
      </c>
      <c r="L16" s="197">
        <f t="shared" si="6"/>
        <v>0</v>
      </c>
      <c r="M16" s="199">
        <f t="shared" si="6"/>
        <v>0</v>
      </c>
      <c r="N16" s="194">
        <f t="shared" si="1"/>
        <v>0</v>
      </c>
      <c r="O16" s="200">
        <f>O47+O101+O196</f>
        <v>0</v>
      </c>
      <c r="P16" s="198">
        <f t="shared" si="6"/>
        <v>0</v>
      </c>
      <c r="Q16" s="194">
        <f t="shared" si="6"/>
        <v>0</v>
      </c>
      <c r="R16" s="130"/>
      <c r="T16" s="130" t="b">
        <v>1</v>
      </c>
      <c r="U16" s="130" t="b">
        <v>1</v>
      </c>
      <c r="V16" s="130" t="b">
        <v>1</v>
      </c>
      <c r="W16" s="130" t="b">
        <v>1</v>
      </c>
      <c r="X16" s="130" t="b">
        <v>1</v>
      </c>
      <c r="Y16" s="130" t="b">
        <v>1</v>
      </c>
      <c r="Z16" s="130" t="b">
        <v>1</v>
      </c>
      <c r="AA16" s="130" t="b">
        <v>1</v>
      </c>
      <c r="AB16" s="130" t="b">
        <v>1</v>
      </c>
      <c r="AC16" s="130" t="b">
        <v>1</v>
      </c>
      <c r="AD16" s="130" t="b">
        <v>1</v>
      </c>
      <c r="AE16" s="130" t="b">
        <v>1</v>
      </c>
      <c r="AF16" s="130" t="b">
        <v>1</v>
      </c>
      <c r="AG16" s="130" t="b">
        <v>1</v>
      </c>
    </row>
    <row r="17" spans="1:33" ht="15" thickBot="1">
      <c r="A17" s="173"/>
      <c r="B17" s="201" t="s">
        <v>273</v>
      </c>
      <c r="C17" s="202" t="s">
        <v>274</v>
      </c>
      <c r="D17" s="203">
        <f t="shared" ref="D17:Q17" si="7">D45+D99+D194</f>
        <v>38.138890000000004</v>
      </c>
      <c r="E17" s="204">
        <f t="shared" si="7"/>
        <v>4.1466226330715621</v>
      </c>
      <c r="F17" s="205">
        <f t="shared" si="7"/>
        <v>0.26994796523644166</v>
      </c>
      <c r="G17" s="206">
        <f t="shared" si="7"/>
        <v>3.4804688701779813</v>
      </c>
      <c r="H17" s="207">
        <f t="shared" si="7"/>
        <v>0.39620579765713915</v>
      </c>
      <c r="I17" s="203">
        <f t="shared" si="7"/>
        <v>32.216418631293315</v>
      </c>
      <c r="J17" s="205">
        <f t="shared" si="7"/>
        <v>14.232080543529376</v>
      </c>
      <c r="K17" s="206">
        <f t="shared" si="7"/>
        <v>9.3712061416073507</v>
      </c>
      <c r="L17" s="206">
        <f t="shared" si="7"/>
        <v>8.6131319461565869</v>
      </c>
      <c r="M17" s="208">
        <f t="shared" si="7"/>
        <v>0</v>
      </c>
      <c r="N17" s="203">
        <f t="shared" si="1"/>
        <v>1.6873563512296598E-4</v>
      </c>
      <c r="O17" s="209">
        <f>O45+O99+O194</f>
        <v>1.6873563512296598E-4</v>
      </c>
      <c r="P17" s="207">
        <f t="shared" si="7"/>
        <v>0</v>
      </c>
      <c r="Q17" s="203">
        <f t="shared" si="7"/>
        <v>1.7756799999999999</v>
      </c>
      <c r="R17" s="130"/>
      <c r="T17" s="130" t="b">
        <v>1</v>
      </c>
      <c r="U17" s="130" t="b">
        <v>1</v>
      </c>
      <c r="V17" s="130" t="b">
        <v>1</v>
      </c>
      <c r="W17" s="130" t="b">
        <v>1</v>
      </c>
      <c r="X17" s="130" t="b">
        <v>1</v>
      </c>
      <c r="Y17" s="130" t="b">
        <v>1</v>
      </c>
      <c r="Z17" s="130" t="b">
        <v>1</v>
      </c>
      <c r="AA17" s="130" t="b">
        <v>1</v>
      </c>
      <c r="AB17" s="130" t="b">
        <v>1</v>
      </c>
      <c r="AC17" s="130" t="b">
        <v>1</v>
      </c>
      <c r="AD17" s="130" t="b">
        <v>1</v>
      </c>
      <c r="AE17" s="130" t="b">
        <v>1</v>
      </c>
      <c r="AF17" s="130" t="b">
        <v>1</v>
      </c>
      <c r="AG17" s="130" t="b">
        <v>1</v>
      </c>
    </row>
    <row r="18" spans="1:33">
      <c r="B18" s="163" t="s">
        <v>275</v>
      </c>
      <c r="C18" s="210" t="s">
        <v>276</v>
      </c>
      <c r="D18" s="165">
        <f t="shared" ref="D18:Q19" si="8">D50+D104+D199</f>
        <v>519.60193400000003</v>
      </c>
      <c r="E18" s="166">
        <f t="shared" si="8"/>
        <v>155.1339536101024</v>
      </c>
      <c r="F18" s="167">
        <f t="shared" si="8"/>
        <v>46.124975934498572</v>
      </c>
      <c r="G18" s="168">
        <f t="shared" si="8"/>
        <v>14.124411066394474</v>
      </c>
      <c r="H18" s="169">
        <f t="shared" si="8"/>
        <v>94.884566609209358</v>
      </c>
      <c r="I18" s="165">
        <f t="shared" si="8"/>
        <v>313.68309738461858</v>
      </c>
      <c r="J18" s="167">
        <f t="shared" si="8"/>
        <v>148.41135012257618</v>
      </c>
      <c r="K18" s="168">
        <f t="shared" si="8"/>
        <v>116.09531398456423</v>
      </c>
      <c r="L18" s="168">
        <f t="shared" si="8"/>
        <v>49.176433277478161</v>
      </c>
      <c r="M18" s="170">
        <f t="shared" si="8"/>
        <v>1.9800869609863334</v>
      </c>
      <c r="N18" s="165">
        <f t="shared" si="1"/>
        <v>33.239974476609262</v>
      </c>
      <c r="O18" s="171">
        <f>O50+O104+O199</f>
        <v>33.239974476609262</v>
      </c>
      <c r="P18" s="169">
        <f t="shared" si="8"/>
        <v>0</v>
      </c>
      <c r="Q18" s="165">
        <f t="shared" si="8"/>
        <v>15.564821567683495</v>
      </c>
      <c r="R18" s="130"/>
      <c r="T18" s="130" t="b">
        <v>1</v>
      </c>
      <c r="U18" s="130" t="b">
        <v>1</v>
      </c>
      <c r="V18" s="130" t="b">
        <v>1</v>
      </c>
      <c r="W18" s="130" t="b">
        <v>1</v>
      </c>
      <c r="X18" s="130" t="b">
        <v>1</v>
      </c>
      <c r="Y18" s="130" t="b">
        <v>1</v>
      </c>
      <c r="Z18" s="130" t="b">
        <v>1</v>
      </c>
      <c r="AA18" s="130" t="b">
        <v>1</v>
      </c>
      <c r="AB18" s="130" t="b">
        <v>1</v>
      </c>
      <c r="AC18" s="130" t="b">
        <v>1</v>
      </c>
      <c r="AD18" s="130" t="b">
        <v>1</v>
      </c>
      <c r="AE18" s="130" t="b">
        <v>1</v>
      </c>
      <c r="AF18" s="130" t="b">
        <v>1</v>
      </c>
      <c r="AG18" s="130" t="b">
        <v>1</v>
      </c>
    </row>
    <row r="19" spans="1:33" ht="15" thickBot="1">
      <c r="B19" s="183" t="s">
        <v>277</v>
      </c>
      <c r="C19" s="211" t="s">
        <v>278</v>
      </c>
      <c r="D19" s="1267">
        <f t="shared" si="8"/>
        <v>508.07854999999995</v>
      </c>
      <c r="E19" s="186">
        <f t="shared" si="8"/>
        <v>151.73033251383146</v>
      </c>
      <c r="F19" s="187">
        <f>F51+F105+F200</f>
        <v>45.24572100796901</v>
      </c>
      <c r="G19" s="188">
        <f t="shared" si="8"/>
        <v>13.761400391108825</v>
      </c>
      <c r="H19" s="189">
        <f t="shared" si="8"/>
        <v>92.72321111475361</v>
      </c>
      <c r="I19" s="185">
        <f t="shared" si="8"/>
        <v>306.44683962676305</v>
      </c>
      <c r="J19" s="187">
        <f t="shared" si="8"/>
        <v>144.80595704902231</v>
      </c>
      <c r="K19" s="188">
        <f t="shared" si="8"/>
        <v>113.55612478615163</v>
      </c>
      <c r="L19" s="188">
        <f t="shared" si="8"/>
        <v>48.084757791589112</v>
      </c>
      <c r="M19" s="190">
        <f t="shared" si="8"/>
        <v>1.9664394961298668</v>
      </c>
      <c r="N19" s="185">
        <f t="shared" si="1"/>
        <v>32.623054512424495</v>
      </c>
      <c r="O19" s="191">
        <f>O51+O105+O200</f>
        <v>32.623054512424495</v>
      </c>
      <c r="P19" s="189">
        <f t="shared" si="8"/>
        <v>0</v>
      </c>
      <c r="Q19" s="185">
        <f t="shared" si="8"/>
        <v>15.311883850851189</v>
      </c>
      <c r="R19" s="130"/>
      <c r="T19" s="130" t="b">
        <v>1</v>
      </c>
      <c r="U19" s="130" t="b">
        <v>1</v>
      </c>
      <c r="V19" s="130" t="b">
        <v>1</v>
      </c>
      <c r="W19" s="130" t="b">
        <v>1</v>
      </c>
      <c r="X19" s="130" t="b">
        <v>1</v>
      </c>
      <c r="Y19" s="130" t="b">
        <v>1</v>
      </c>
      <c r="Z19" s="130" t="b">
        <v>1</v>
      </c>
      <c r="AA19" s="130" t="b">
        <v>1</v>
      </c>
      <c r="AB19" s="130" t="b">
        <v>1</v>
      </c>
      <c r="AC19" s="130" t="b">
        <v>1</v>
      </c>
      <c r="AD19" s="130" t="b">
        <v>1</v>
      </c>
      <c r="AE19" s="130" t="b">
        <v>1</v>
      </c>
      <c r="AF19" s="130" t="b">
        <v>1</v>
      </c>
      <c r="AG19" s="130" t="b">
        <v>1</v>
      </c>
    </row>
    <row r="20" spans="1:33" ht="15" thickBot="1">
      <c r="A20" s="212"/>
      <c r="B20" s="213" t="s">
        <v>279</v>
      </c>
      <c r="C20" s="214" t="s">
        <v>280</v>
      </c>
      <c r="D20" s="215">
        <f>D30+D31+D45+D65+D67+D71+D73+D74+D75+D77+D83+D84+D99+D117+D119+D123+D126+D127+D129+D135+D136+D194+D212+D214+D218+D220+D221+D222+D224+D231+D232+D125</f>
        <v>124.539</v>
      </c>
      <c r="E20" s="216">
        <f t="shared" ref="E20:Q20" si="9">E30+E31+E45+E65+E67+E71+E73+E74+E75+E77+E83+E84+E99+E117+E119+E123+E126+E127+E129+E135+E136+E194+E212+E214+E218+E220+E221+E222+E224+E231+E232+E125</f>
        <v>33.29627208792094</v>
      </c>
      <c r="F20" s="217">
        <f t="shared" si="9"/>
        <v>2.6382448670605259</v>
      </c>
      <c r="G20" s="218">
        <f t="shared" si="9"/>
        <v>5.9516730532332405</v>
      </c>
      <c r="H20" s="219">
        <f t="shared" si="9"/>
        <v>24.706354167627168</v>
      </c>
      <c r="I20" s="215">
        <f t="shared" si="9"/>
        <v>87.028296209063697</v>
      </c>
      <c r="J20" s="217">
        <f t="shared" si="9"/>
        <v>34.079268525549203</v>
      </c>
      <c r="K20" s="218">
        <f t="shared" si="9"/>
        <v>37.655282951950447</v>
      </c>
      <c r="L20" s="218">
        <f t="shared" si="9"/>
        <v>15.293744731564058</v>
      </c>
      <c r="M20" s="220">
        <f t="shared" si="9"/>
        <v>0.12007081944139109</v>
      </c>
      <c r="N20" s="215">
        <f t="shared" si="1"/>
        <v>1.2425983770519746</v>
      </c>
      <c r="O20" s="221">
        <f>O30+O31+O45+O65+O67+O71+O73+O74+O75+O77+O83+O84+O99+O117+O119+O123+O126+O127+O129+O135+O136+O194+O212+O214+O218+O220+O221+O222+O224+O231+O232+O125</f>
        <v>1.2425983770519746</v>
      </c>
      <c r="P20" s="219">
        <f t="shared" si="9"/>
        <v>0</v>
      </c>
      <c r="Q20" s="222">
        <f t="shared" si="9"/>
        <v>2.8517625065220034</v>
      </c>
      <c r="R20" s="130"/>
      <c r="T20" s="130" t="b">
        <v>1</v>
      </c>
      <c r="U20" s="130" t="b">
        <v>1</v>
      </c>
      <c r="V20" s="130" t="b">
        <v>1</v>
      </c>
      <c r="W20" s="130" t="b">
        <v>1</v>
      </c>
      <c r="X20" s="130" t="b">
        <v>1</v>
      </c>
      <c r="Y20" s="130" t="b">
        <v>1</v>
      </c>
      <c r="Z20" s="130" t="b">
        <v>1</v>
      </c>
      <c r="AA20" s="130" t="b">
        <v>1</v>
      </c>
      <c r="AB20" s="130" t="b">
        <v>1</v>
      </c>
      <c r="AC20" s="130" t="b">
        <v>1</v>
      </c>
      <c r="AD20" s="130" t="b">
        <v>1</v>
      </c>
      <c r="AE20" s="130" t="b">
        <v>1</v>
      </c>
      <c r="AF20" s="130" t="b">
        <v>1</v>
      </c>
      <c r="AG20" s="130" t="b">
        <v>1</v>
      </c>
    </row>
    <row r="21" spans="1:33" ht="15.6" thickTop="1" thickBot="1">
      <c r="A21" s="212"/>
      <c r="B21" s="223" t="s">
        <v>281</v>
      </c>
      <c r="C21" s="146" t="s">
        <v>282</v>
      </c>
      <c r="D21" s="224">
        <f>D27+D88+D184</f>
        <v>1286.1178703833557</v>
      </c>
      <c r="E21" s="225">
        <f>E27+E88+E184</f>
        <v>366.78933188466806</v>
      </c>
      <c r="F21" s="226">
        <f t="shared" ref="F21:M21" si="10">F27+F88+F184</f>
        <v>104.51562920754778</v>
      </c>
      <c r="G21" s="227">
        <f t="shared" si="10"/>
        <v>53.891666869422536</v>
      </c>
      <c r="H21" s="228">
        <f t="shared" si="10"/>
        <v>208.38203580769778</v>
      </c>
      <c r="I21" s="224">
        <f t="shared" si="10"/>
        <v>847.98382223475801</v>
      </c>
      <c r="J21" s="226">
        <f t="shared" si="10"/>
        <v>353.42650844194645</v>
      </c>
      <c r="K21" s="227">
        <f t="shared" si="10"/>
        <v>399.23402559593211</v>
      </c>
      <c r="L21" s="227">
        <f t="shared" si="10"/>
        <v>95.323288196879432</v>
      </c>
      <c r="M21" s="229">
        <f t="shared" si="10"/>
        <v>3.6144963966575157</v>
      </c>
      <c r="N21" s="224">
        <f t="shared" si="1"/>
        <v>37.35732335381725</v>
      </c>
      <c r="O21" s="230">
        <f>O27+O88+O184</f>
        <v>37.35732335381725</v>
      </c>
      <c r="P21" s="228">
        <f>P27+P88+P184</f>
        <v>0</v>
      </c>
      <c r="Q21" s="231">
        <f>Q27+Q88+Q184</f>
        <v>30.372896513454982</v>
      </c>
      <c r="R21" s="130"/>
      <c r="T21" s="130" t="b">
        <v>1</v>
      </c>
      <c r="U21" s="130" t="b">
        <v>1</v>
      </c>
      <c r="V21" s="130" t="b">
        <v>1</v>
      </c>
      <c r="W21" s="130" t="b">
        <v>1</v>
      </c>
      <c r="X21" s="130" t="b">
        <v>1</v>
      </c>
      <c r="Y21" s="130" t="b">
        <v>1</v>
      </c>
      <c r="Z21" s="130" t="b">
        <v>1</v>
      </c>
      <c r="AA21" s="130" t="b">
        <v>1</v>
      </c>
      <c r="AB21" s="130" t="b">
        <v>1</v>
      </c>
      <c r="AC21" s="130" t="b">
        <v>1</v>
      </c>
      <c r="AD21" s="130" t="b">
        <v>1</v>
      </c>
      <c r="AE21" s="130" t="b">
        <v>1</v>
      </c>
      <c r="AF21" s="130" t="b">
        <v>1</v>
      </c>
      <c r="AG21" s="130" t="b">
        <v>1</v>
      </c>
    </row>
    <row r="22" spans="1:33" ht="15" thickTop="1">
      <c r="B22" s="232" t="s">
        <v>283</v>
      </c>
      <c r="C22" s="233" t="s">
        <v>284</v>
      </c>
      <c r="D22" s="165">
        <f t="shared" ref="D22:D29" si="11">O22+E22+I22+M22+P22+Q22</f>
        <v>1086.206702906685</v>
      </c>
      <c r="E22" s="166">
        <f>SUM(E23:E25)</f>
        <v>309.65158220685805</v>
      </c>
      <c r="F22" s="167">
        <f t="shared" ref="F22:Q22" si="12">SUM(F23:F25)</f>
        <v>61.614558439637776</v>
      </c>
      <c r="G22" s="168">
        <f t="shared" si="12"/>
        <v>51.023454261242534</v>
      </c>
      <c r="H22" s="169">
        <f t="shared" si="12"/>
        <v>197.01356950597778</v>
      </c>
      <c r="I22" s="165">
        <f>SUM(I23:I25)</f>
        <v>705.21040443589698</v>
      </c>
      <c r="J22" s="167">
        <f t="shared" si="12"/>
        <v>327.97473532194647</v>
      </c>
      <c r="K22" s="168">
        <f t="shared" si="12"/>
        <v>281.91238091707106</v>
      </c>
      <c r="L22" s="168">
        <f t="shared" si="12"/>
        <v>95.323288196879432</v>
      </c>
      <c r="M22" s="170">
        <f t="shared" si="12"/>
        <v>3.6144963966575157</v>
      </c>
      <c r="N22" s="165">
        <f t="shared" si="1"/>
        <v>37.35732335381725</v>
      </c>
      <c r="O22" s="171">
        <f>SUM(O23:O25)</f>
        <v>37.35732335381725</v>
      </c>
      <c r="P22" s="169">
        <f t="shared" si="12"/>
        <v>0</v>
      </c>
      <c r="Q22" s="234">
        <f t="shared" si="12"/>
        <v>30.372896513454982</v>
      </c>
      <c r="R22" s="130"/>
      <c r="T22" s="130" t="b">
        <v>1</v>
      </c>
      <c r="U22" s="130" t="b">
        <v>1</v>
      </c>
      <c r="V22" s="130" t="b">
        <v>1</v>
      </c>
      <c r="W22" s="130" t="b">
        <v>1</v>
      </c>
      <c r="X22" s="130" t="b">
        <v>1</v>
      </c>
      <c r="Y22" s="130" t="b">
        <v>1</v>
      </c>
      <c r="Z22" s="130" t="b">
        <v>1</v>
      </c>
      <c r="AA22" s="130" t="b">
        <v>1</v>
      </c>
      <c r="AB22" s="130" t="b">
        <v>1</v>
      </c>
      <c r="AC22" s="130" t="b">
        <v>1</v>
      </c>
      <c r="AD22" s="130" t="b">
        <v>1</v>
      </c>
      <c r="AE22" s="130" t="b">
        <v>1</v>
      </c>
      <c r="AF22" s="130" t="b">
        <v>1</v>
      </c>
      <c r="AG22" s="130" t="b">
        <v>1</v>
      </c>
    </row>
    <row r="23" spans="1:33">
      <c r="B23" s="235" t="s">
        <v>285</v>
      </c>
      <c r="C23" s="236" t="s">
        <v>286</v>
      </c>
      <c r="D23" s="237">
        <f t="shared" si="11"/>
        <v>642.0653338774805</v>
      </c>
      <c r="E23" s="238">
        <f t="shared" ref="E23:E28" si="13">SUM(F23:H23)</f>
        <v>188.66780707617002</v>
      </c>
      <c r="F23" s="239">
        <f>F27-F28-F29-F33-F36-F37-F56-F57-F87</f>
        <v>45.343330000000009</v>
      </c>
      <c r="G23" s="240">
        <f>G27-G28-G29-G33-G36-G37-G56-G57-G87</f>
        <v>30.413734000000002</v>
      </c>
      <c r="H23" s="241">
        <f>H27-H28-H29-H33-H36-H37-H56-H57-H87</f>
        <v>112.91074307617001</v>
      </c>
      <c r="I23" s="237">
        <f t="shared" ref="I23:I54" si="14">SUM(J23:L23)</f>
        <v>398.68113480131063</v>
      </c>
      <c r="J23" s="239">
        <f t="shared" ref="J23:Q23" si="15">J27-J28-J29-J33-J36-J37-J56-J57-J87</f>
        <v>159.41861494744001</v>
      </c>
      <c r="K23" s="240">
        <f t="shared" si="15"/>
        <v>184.96079701394993</v>
      </c>
      <c r="L23" s="240">
        <f t="shared" si="15"/>
        <v>54.301722839920714</v>
      </c>
      <c r="M23" s="242">
        <f t="shared" si="15"/>
        <v>2.7728900000000003</v>
      </c>
      <c r="N23" s="237">
        <f t="shared" si="1"/>
        <v>28.642689999999998</v>
      </c>
      <c r="O23" s="243">
        <f>O27-O28-O29-O33-O36-O37-O56-O57-O87</f>
        <v>28.642689999999998</v>
      </c>
      <c r="P23" s="241">
        <f t="shared" si="15"/>
        <v>0</v>
      </c>
      <c r="Q23" s="237">
        <f t="shared" si="15"/>
        <v>23.300812000000001</v>
      </c>
      <c r="R23" s="130"/>
      <c r="T23" s="130" t="b">
        <v>1</v>
      </c>
      <c r="U23" s="130" t="b">
        <v>1</v>
      </c>
      <c r="V23" s="130" t="b">
        <v>1</v>
      </c>
      <c r="W23" s="130" t="b">
        <v>1</v>
      </c>
      <c r="X23" s="130" t="b">
        <v>1</v>
      </c>
      <c r="Y23" s="130" t="b">
        <v>1</v>
      </c>
      <c r="Z23" s="130" t="b">
        <v>1</v>
      </c>
      <c r="AA23" s="130" t="b">
        <v>1</v>
      </c>
      <c r="AB23" s="130" t="b">
        <v>1</v>
      </c>
      <c r="AC23" s="130" t="b">
        <v>1</v>
      </c>
      <c r="AD23" s="130" t="b">
        <v>1</v>
      </c>
      <c r="AE23" s="130" t="b">
        <v>1</v>
      </c>
      <c r="AF23" s="130" t="b">
        <v>1</v>
      </c>
      <c r="AG23" s="130" t="b">
        <v>1</v>
      </c>
    </row>
    <row r="24" spans="1:33">
      <c r="B24" s="235" t="s">
        <v>287</v>
      </c>
      <c r="C24" s="244" t="s">
        <v>288</v>
      </c>
      <c r="D24" s="245">
        <f t="shared" si="11"/>
        <v>191.22688000000002</v>
      </c>
      <c r="E24" s="246">
        <f t="shared" si="13"/>
        <v>48.883896275806691</v>
      </c>
      <c r="F24" s="247">
        <f>F88-F90-F138</f>
        <v>1.9247743781590416</v>
      </c>
      <c r="G24" s="248">
        <f>G88-G90-G138</f>
        <v>8.7293195709737841</v>
      </c>
      <c r="H24" s="249">
        <f>H88-H90-H138</f>
        <v>38.229802326673862</v>
      </c>
      <c r="I24" s="245">
        <f t="shared" si="14"/>
        <v>142.32670246325682</v>
      </c>
      <c r="J24" s="247">
        <f t="shared" ref="J24:Q24" si="16">J88-J90-J138</f>
        <v>92.189842780687684</v>
      </c>
      <c r="K24" s="248">
        <f t="shared" si="16"/>
        <v>31.310554824724175</v>
      </c>
      <c r="L24" s="248">
        <f t="shared" si="16"/>
        <v>18.826304857844971</v>
      </c>
      <c r="M24" s="250">
        <f t="shared" si="16"/>
        <v>0</v>
      </c>
      <c r="N24" s="245">
        <f t="shared" si="1"/>
        <v>1.628126093651705E-2</v>
      </c>
      <c r="O24" s="251">
        <f>O88-O90-O138</f>
        <v>1.628126093651705E-2</v>
      </c>
      <c r="P24" s="249">
        <f t="shared" si="16"/>
        <v>0</v>
      </c>
      <c r="Q24" s="245">
        <f t="shared" si="16"/>
        <v>0</v>
      </c>
      <c r="R24" s="130"/>
      <c r="T24" s="130" t="b">
        <v>1</v>
      </c>
      <c r="U24" s="130" t="b">
        <v>1</v>
      </c>
      <c r="V24" s="130" t="b">
        <v>1</v>
      </c>
      <c r="W24" s="130" t="b">
        <v>1</v>
      </c>
      <c r="X24" s="130" t="b">
        <v>1</v>
      </c>
      <c r="Y24" s="130" t="b">
        <v>1</v>
      </c>
      <c r="Z24" s="130" t="b">
        <v>1</v>
      </c>
      <c r="AA24" s="130" t="b">
        <v>1</v>
      </c>
      <c r="AB24" s="130" t="b">
        <v>1</v>
      </c>
      <c r="AC24" s="130" t="b">
        <v>1</v>
      </c>
      <c r="AD24" s="130" t="b">
        <v>1</v>
      </c>
      <c r="AE24" s="130" t="b">
        <v>1</v>
      </c>
      <c r="AF24" s="130" t="b">
        <v>1</v>
      </c>
      <c r="AG24" s="130" t="b">
        <v>1</v>
      </c>
    </row>
    <row r="25" spans="1:33" ht="15" thickBot="1">
      <c r="B25" s="235" t="s">
        <v>289</v>
      </c>
      <c r="C25" s="252" t="s">
        <v>290</v>
      </c>
      <c r="D25" s="253">
        <f t="shared" si="11"/>
        <v>252.91448902920411</v>
      </c>
      <c r="E25" s="254">
        <f t="shared" si="13"/>
        <v>72.099878854881382</v>
      </c>
      <c r="F25" s="255">
        <f>F184</f>
        <v>14.346454061478727</v>
      </c>
      <c r="G25" s="256">
        <f>G184</f>
        <v>11.880400690268754</v>
      </c>
      <c r="H25" s="257">
        <f>H184</f>
        <v>45.873024103133908</v>
      </c>
      <c r="I25" s="253">
        <f t="shared" si="14"/>
        <v>164.20256717132949</v>
      </c>
      <c r="J25" s="255">
        <f t="shared" ref="J25:Q25" si="17">J184</f>
        <v>76.366277593818793</v>
      </c>
      <c r="K25" s="256">
        <f t="shared" si="17"/>
        <v>65.641029078396954</v>
      </c>
      <c r="L25" s="256">
        <f t="shared" si="17"/>
        <v>22.195260499113747</v>
      </c>
      <c r="M25" s="258">
        <f t="shared" si="17"/>
        <v>0.84160639665751513</v>
      </c>
      <c r="N25" s="253">
        <f t="shared" si="1"/>
        <v>8.6983520928807359</v>
      </c>
      <c r="O25" s="259">
        <f>O184</f>
        <v>8.6983520928807359</v>
      </c>
      <c r="P25" s="257">
        <f t="shared" si="17"/>
        <v>0</v>
      </c>
      <c r="Q25" s="253">
        <f t="shared" si="17"/>
        <v>7.0720845134549828</v>
      </c>
      <c r="R25" s="130"/>
      <c r="T25" s="130" t="b">
        <v>1</v>
      </c>
      <c r="U25" s="130" t="b">
        <v>1</v>
      </c>
      <c r="V25" s="130" t="b">
        <v>1</v>
      </c>
      <c r="W25" s="130" t="b">
        <v>1</v>
      </c>
      <c r="X25" s="130" t="b">
        <v>1</v>
      </c>
      <c r="Y25" s="130" t="b">
        <v>1</v>
      </c>
      <c r="Z25" s="130" t="b">
        <v>1</v>
      </c>
      <c r="AA25" s="130" t="b">
        <v>1</v>
      </c>
      <c r="AB25" s="130" t="b">
        <v>1</v>
      </c>
      <c r="AC25" s="130" t="b">
        <v>1</v>
      </c>
      <c r="AD25" s="130" t="b">
        <v>1</v>
      </c>
      <c r="AE25" s="130" t="b">
        <v>1</v>
      </c>
      <c r="AF25" s="130" t="b">
        <v>1</v>
      </c>
      <c r="AG25" s="172">
        <v>0</v>
      </c>
    </row>
    <row r="26" spans="1:33" ht="15.6" thickTop="1" thickBot="1">
      <c r="B26" s="232" t="s">
        <v>291</v>
      </c>
      <c r="C26" s="233" t="s">
        <v>292</v>
      </c>
      <c r="D26" s="224">
        <f t="shared" si="11"/>
        <v>199.91116747667098</v>
      </c>
      <c r="E26" s="225">
        <f t="shared" si="13"/>
        <v>57.13774967781</v>
      </c>
      <c r="F26" s="226">
        <f>F28+F29+F33+F36+F37+F56+F57+F87+F90+F138</f>
        <v>42.901070767909999</v>
      </c>
      <c r="G26" s="227">
        <f>G28+G29+G33+G36+G37+G56+G57+G87+G90+G138</f>
        <v>2.8682126081799999</v>
      </c>
      <c r="H26" s="228">
        <f>H28+H29+H33+H36+H37+H56+H57+H87+H90+H138</f>
        <v>11.36846630172</v>
      </c>
      <c r="I26" s="224">
        <f t="shared" si="14"/>
        <v>142.77341779886098</v>
      </c>
      <c r="J26" s="226">
        <f t="shared" ref="J26:Q26" si="18">J28+J29+J33+J36+J37+J56+J57+J87+J90+J138</f>
        <v>25.451773119999999</v>
      </c>
      <c r="K26" s="227">
        <f t="shared" si="18"/>
        <v>117.32164467886099</v>
      </c>
      <c r="L26" s="227">
        <f t="shared" si="18"/>
        <v>0</v>
      </c>
      <c r="M26" s="229">
        <f t="shared" si="18"/>
        <v>0</v>
      </c>
      <c r="N26" s="224">
        <f t="shared" si="1"/>
        <v>0</v>
      </c>
      <c r="O26" s="230">
        <f>O28+O29+O33+O36+O37+O56+O57+O87+O90+O138</f>
        <v>0</v>
      </c>
      <c r="P26" s="228">
        <f t="shared" si="18"/>
        <v>0</v>
      </c>
      <c r="Q26" s="224">
        <f t="shared" si="18"/>
        <v>0</v>
      </c>
      <c r="R26" s="130"/>
      <c r="T26" s="130" t="b">
        <v>1</v>
      </c>
      <c r="U26" s="130" t="b">
        <v>1</v>
      </c>
      <c r="V26" s="130" t="b">
        <v>1</v>
      </c>
      <c r="W26" s="130" t="b">
        <v>1</v>
      </c>
      <c r="X26" s="130" t="b">
        <v>1</v>
      </c>
      <c r="Y26" s="130" t="b">
        <v>1</v>
      </c>
      <c r="Z26" s="130" t="b">
        <v>1</v>
      </c>
      <c r="AA26" s="130" t="b">
        <v>1</v>
      </c>
      <c r="AB26" s="130" t="b">
        <v>1</v>
      </c>
      <c r="AC26" s="130" t="b">
        <v>1</v>
      </c>
      <c r="AD26" s="130" t="b">
        <v>1</v>
      </c>
      <c r="AE26" s="130" t="b">
        <v>1</v>
      </c>
      <c r="AF26" s="130" t="b">
        <v>1</v>
      </c>
      <c r="AG26" s="130" t="b">
        <v>1</v>
      </c>
    </row>
    <row r="27" spans="1:33" ht="15.6" thickTop="1" thickBot="1">
      <c r="B27" s="260" t="s">
        <v>50</v>
      </c>
      <c r="C27" s="146" t="s">
        <v>293</v>
      </c>
      <c r="D27" s="260">
        <f t="shared" si="11"/>
        <v>841.97650135415154</v>
      </c>
      <c r="E27" s="261">
        <f t="shared" si="13"/>
        <v>245.80555675398</v>
      </c>
      <c r="F27" s="1285">
        <f>F28+F29+F32+F35+F38+F41+F43+F49+F50+F55+F61+F64+F79+F80</f>
        <v>88.244400767910008</v>
      </c>
      <c r="G27" s="1286">
        <f>G28+G29+G32+G35+G38+G41+G43+G49+G50+G55+G61+G64+G79+G80</f>
        <v>33.28194660818</v>
      </c>
      <c r="H27" s="1287">
        <f>H28+H29+H32+H35+H38+H41+H43+H49+H50+H55+H61+H64+H79+H80</f>
        <v>124.27920937789001</v>
      </c>
      <c r="I27" s="260">
        <f t="shared" si="14"/>
        <v>541.45455260017161</v>
      </c>
      <c r="J27" s="1284">
        <f t="shared" ref="J27:P27" si="19">J28+J29+J32+J35+J38+J41+J43+J49+J50+J55+J61+J64+J79+J80</f>
        <v>184.87038806743999</v>
      </c>
      <c r="K27" s="1286">
        <f t="shared" si="19"/>
        <v>302.28244169281095</v>
      </c>
      <c r="L27" s="1286">
        <f t="shared" si="19"/>
        <v>54.301722839920714</v>
      </c>
      <c r="M27" s="1288">
        <f t="shared" si="19"/>
        <v>2.7728900000000003</v>
      </c>
      <c r="N27" s="260">
        <f>O27+P27</f>
        <v>28.642689999999998</v>
      </c>
      <c r="O27" s="1289">
        <f>O28+O29+O32+O35+O38+O41+O43+O49+O50+O55+O61+O64+O79+O80</f>
        <v>28.642689999999998</v>
      </c>
      <c r="P27" s="264">
        <f t="shared" si="19"/>
        <v>0</v>
      </c>
      <c r="Q27" s="1290">
        <f>Q28+Q29+Q32+Q35+Q38+Q41+Q43+Q49+Q50+Q55+Q61+Q64+Q79+Q80</f>
        <v>23.300812000000001</v>
      </c>
      <c r="R27" s="130"/>
      <c r="T27" s="130" t="b">
        <v>1</v>
      </c>
      <c r="U27" s="130" t="b">
        <v>1</v>
      </c>
      <c r="V27" s="130" t="b">
        <v>1</v>
      </c>
      <c r="W27" s="130" t="b">
        <v>1</v>
      </c>
      <c r="X27" s="130" t="b">
        <v>1</v>
      </c>
      <c r="Y27" s="130" t="b">
        <v>1</v>
      </c>
      <c r="Z27" s="130" t="b">
        <v>1</v>
      </c>
      <c r="AA27" s="130" t="b">
        <v>1</v>
      </c>
      <c r="AB27" s="130" t="b">
        <v>1</v>
      </c>
      <c r="AC27" s="130" t="b">
        <v>1</v>
      </c>
      <c r="AD27" s="130" t="b">
        <v>1</v>
      </c>
      <c r="AE27" s="130" t="b">
        <v>1</v>
      </c>
      <c r="AF27" s="130" t="b">
        <v>1</v>
      </c>
      <c r="AG27" s="130" t="b">
        <v>1</v>
      </c>
    </row>
    <row r="28" spans="1:33" ht="15.6" thickTop="1" thickBot="1">
      <c r="B28" s="154" t="s">
        <v>52</v>
      </c>
      <c r="C28" s="155" t="s">
        <v>261</v>
      </c>
      <c r="D28" s="156">
        <f t="shared" si="11"/>
        <v>0</v>
      </c>
      <c r="E28" s="157">
        <f t="shared" si="13"/>
        <v>0</v>
      </c>
      <c r="F28" s="267">
        <v>0</v>
      </c>
      <c r="G28" s="268">
        <v>0</v>
      </c>
      <c r="H28" s="269">
        <v>0</v>
      </c>
      <c r="I28" s="165">
        <f>SUM(J28:L28)</f>
        <v>0</v>
      </c>
      <c r="J28" s="158">
        <v>0</v>
      </c>
      <c r="K28" s="159">
        <v>0</v>
      </c>
      <c r="L28" s="159">
        <v>0</v>
      </c>
      <c r="M28" s="161">
        <v>0</v>
      </c>
      <c r="N28" s="156">
        <f t="shared" si="1"/>
        <v>0</v>
      </c>
      <c r="O28" s="162">
        <v>0</v>
      </c>
      <c r="P28" s="269">
        <v>0</v>
      </c>
      <c r="Q28" s="270">
        <v>0</v>
      </c>
      <c r="R28" s="130"/>
      <c r="T28" s="130" t="b">
        <v>1</v>
      </c>
      <c r="U28" s="130" t="b">
        <v>1</v>
      </c>
      <c r="V28" s="130" t="b">
        <v>1</v>
      </c>
      <c r="W28" s="130" t="b">
        <v>1</v>
      </c>
      <c r="X28" s="130" t="b">
        <v>1</v>
      </c>
      <c r="Y28" s="130" t="b">
        <v>1</v>
      </c>
      <c r="Z28" s="130" t="b">
        <v>1</v>
      </c>
      <c r="AA28" s="130" t="b">
        <v>1</v>
      </c>
      <c r="AB28" s="130" t="b">
        <v>1</v>
      </c>
      <c r="AC28" s="130" t="b">
        <v>1</v>
      </c>
      <c r="AD28" s="130" t="b">
        <v>1</v>
      </c>
      <c r="AE28" s="130" t="b">
        <v>1</v>
      </c>
      <c r="AF28" s="130" t="b">
        <v>1</v>
      </c>
      <c r="AG28" s="130" t="b">
        <v>1</v>
      </c>
    </row>
    <row r="29" spans="1:33">
      <c r="B29" s="271" t="s">
        <v>135</v>
      </c>
      <c r="C29" s="272" t="s">
        <v>294</v>
      </c>
      <c r="D29" s="165">
        <f t="shared" si="11"/>
        <v>0</v>
      </c>
      <c r="E29" s="166">
        <f>SUM(E30:E31)</f>
        <v>0</v>
      </c>
      <c r="F29" s="167">
        <f>SUM(F30:F31)</f>
        <v>0</v>
      </c>
      <c r="G29" s="168">
        <f>SUM(G30:G31)</f>
        <v>0</v>
      </c>
      <c r="H29" s="169">
        <f>SUM(H30:H31)</f>
        <v>0</v>
      </c>
      <c r="I29" s="165">
        <f t="shared" si="14"/>
        <v>0</v>
      </c>
      <c r="J29" s="167">
        <f>SUM(J30:J31)</f>
        <v>0</v>
      </c>
      <c r="K29" s="168">
        <f>SUM(K30:K31)</f>
        <v>0</v>
      </c>
      <c r="L29" s="168">
        <f>SUM(L30:L31)</f>
        <v>0</v>
      </c>
      <c r="M29" s="170">
        <f>SUM(M30:M31)</f>
        <v>0</v>
      </c>
      <c r="N29" s="165">
        <f t="shared" si="1"/>
        <v>0</v>
      </c>
      <c r="O29" s="171">
        <f>SUM(O30:O31)</f>
        <v>0</v>
      </c>
      <c r="P29" s="169">
        <f>+SUM(P30:P31)</f>
        <v>0</v>
      </c>
      <c r="Q29" s="165">
        <f>+SUM(Q30:Q31)</f>
        <v>0</v>
      </c>
      <c r="R29" s="130"/>
      <c r="T29" s="130" t="b">
        <v>1</v>
      </c>
      <c r="U29" s="130" t="b">
        <v>1</v>
      </c>
      <c r="V29" s="130" t="b">
        <v>1</v>
      </c>
      <c r="W29" s="130" t="b">
        <v>1</v>
      </c>
      <c r="X29" s="130" t="b">
        <v>1</v>
      </c>
      <c r="Y29" s="130" t="b">
        <v>1</v>
      </c>
      <c r="Z29" s="130" t="b">
        <v>1</v>
      </c>
      <c r="AA29" s="130" t="b">
        <v>1</v>
      </c>
      <c r="AB29" s="130" t="b">
        <v>1</v>
      </c>
      <c r="AC29" s="130" t="b">
        <v>1</v>
      </c>
      <c r="AD29" s="130" t="b">
        <v>1</v>
      </c>
      <c r="AE29" s="130" t="b">
        <v>1</v>
      </c>
      <c r="AF29" s="130" t="b">
        <v>1</v>
      </c>
      <c r="AG29" s="130" t="b">
        <v>1</v>
      </c>
    </row>
    <row r="30" spans="1:33">
      <c r="B30" s="183" t="s">
        <v>137</v>
      </c>
      <c r="C30" s="184" t="s">
        <v>262</v>
      </c>
      <c r="D30" s="237">
        <f>I30+M30+P30+Q30</f>
        <v>0</v>
      </c>
      <c r="E30" s="238">
        <f>+SUM(F30:H30)</f>
        <v>0</v>
      </c>
      <c r="F30" s="239">
        <v>0</v>
      </c>
      <c r="G30" s="240">
        <v>0</v>
      </c>
      <c r="H30" s="241">
        <v>0</v>
      </c>
      <c r="I30" s="237">
        <f t="shared" si="14"/>
        <v>0</v>
      </c>
      <c r="J30" s="273">
        <v>0</v>
      </c>
      <c r="K30" s="274">
        <v>0</v>
      </c>
      <c r="L30" s="240">
        <v>0</v>
      </c>
      <c r="M30" s="275">
        <v>0</v>
      </c>
      <c r="N30" s="237">
        <f t="shared" si="1"/>
        <v>0</v>
      </c>
      <c r="O30" s="243">
        <v>0</v>
      </c>
      <c r="P30" s="276">
        <v>0</v>
      </c>
      <c r="Q30" s="277">
        <v>0</v>
      </c>
      <c r="R30" s="130"/>
      <c r="T30" s="130" t="b">
        <v>1</v>
      </c>
      <c r="U30" s="130" t="b">
        <v>1</v>
      </c>
      <c r="V30" s="130" t="b">
        <v>1</v>
      </c>
      <c r="W30" s="130" t="b">
        <v>1</v>
      </c>
      <c r="X30" s="130" t="b">
        <v>1</v>
      </c>
      <c r="Y30" s="130" t="b">
        <v>1</v>
      </c>
      <c r="Z30" s="130" t="b">
        <v>1</v>
      </c>
      <c r="AA30" s="130" t="b">
        <v>1</v>
      </c>
      <c r="AB30" s="130" t="b">
        <v>1</v>
      </c>
      <c r="AC30" s="130" t="b">
        <v>1</v>
      </c>
      <c r="AD30" s="130" t="b">
        <v>1</v>
      </c>
      <c r="AE30" s="130" t="b">
        <v>1</v>
      </c>
      <c r="AF30" s="130" t="b">
        <v>1</v>
      </c>
      <c r="AG30" s="130" t="b">
        <v>1</v>
      </c>
    </row>
    <row r="31" spans="1:33" ht="15" thickBot="1">
      <c r="B31" s="183" t="s">
        <v>139</v>
      </c>
      <c r="C31" s="184" t="s">
        <v>295</v>
      </c>
      <c r="D31" s="237">
        <f>I31+M31+P31+Q31</f>
        <v>0</v>
      </c>
      <c r="E31" s="238">
        <f>+SUM(F31:H31)</f>
        <v>0</v>
      </c>
      <c r="F31" s="239">
        <v>0</v>
      </c>
      <c r="G31" s="240">
        <v>0</v>
      </c>
      <c r="H31" s="241">
        <v>0</v>
      </c>
      <c r="I31" s="237">
        <f t="shared" si="14"/>
        <v>0</v>
      </c>
      <c r="J31" s="239">
        <v>0</v>
      </c>
      <c r="K31" s="240">
        <v>0</v>
      </c>
      <c r="L31" s="274">
        <v>0</v>
      </c>
      <c r="M31" s="242">
        <v>0</v>
      </c>
      <c r="N31" s="237">
        <f t="shared" si="1"/>
        <v>0</v>
      </c>
      <c r="O31" s="243">
        <v>0</v>
      </c>
      <c r="P31" s="241">
        <v>0</v>
      </c>
      <c r="Q31" s="237">
        <v>0</v>
      </c>
      <c r="R31" s="130"/>
      <c r="T31" s="130" t="b">
        <v>1</v>
      </c>
      <c r="U31" s="130" t="b">
        <v>1</v>
      </c>
      <c r="V31" s="130" t="b">
        <v>1</v>
      </c>
      <c r="W31" s="130" t="b">
        <v>1</v>
      </c>
      <c r="X31" s="130" t="b">
        <v>1</v>
      </c>
      <c r="Y31" s="130" t="b">
        <v>1</v>
      </c>
      <c r="Z31" s="130" t="b">
        <v>1</v>
      </c>
      <c r="AA31" s="130" t="b">
        <v>1</v>
      </c>
      <c r="AB31" s="130" t="b">
        <v>1</v>
      </c>
      <c r="AC31" s="130" t="b">
        <v>1</v>
      </c>
      <c r="AD31" s="130" t="b">
        <v>1</v>
      </c>
      <c r="AE31" s="130" t="b">
        <v>1</v>
      </c>
      <c r="AF31" s="130" t="b">
        <v>1</v>
      </c>
      <c r="AG31" s="130" t="b">
        <v>1</v>
      </c>
    </row>
    <row r="32" spans="1:33">
      <c r="B32" s="271" t="s">
        <v>296</v>
      </c>
      <c r="C32" s="272" t="s">
        <v>297</v>
      </c>
      <c r="D32" s="165">
        <f t="shared" ref="D32:D87" si="20">O32+E32+I32+M32+P32+Q32</f>
        <v>128.91816747667099</v>
      </c>
      <c r="E32" s="166">
        <f>E33+E34</f>
        <v>33.184749677809997</v>
      </c>
      <c r="F32" s="167">
        <f>F33+F34</f>
        <v>18.94807076791</v>
      </c>
      <c r="G32" s="168">
        <f>G33+G34</f>
        <v>2.8682126081799999</v>
      </c>
      <c r="H32" s="169">
        <f>H33+H34</f>
        <v>11.36846630172</v>
      </c>
      <c r="I32" s="165">
        <f t="shared" si="14"/>
        <v>95.733417798860998</v>
      </c>
      <c r="J32" s="167">
        <f t="shared" ref="J32:Q32" si="21">SUM(J33:J34)</f>
        <v>25.451773119999999</v>
      </c>
      <c r="K32" s="168">
        <f t="shared" si="21"/>
        <v>70.281644678860999</v>
      </c>
      <c r="L32" s="168">
        <f t="shared" si="21"/>
        <v>0</v>
      </c>
      <c r="M32" s="170">
        <f t="shared" si="21"/>
        <v>0</v>
      </c>
      <c r="N32" s="165">
        <f t="shared" si="1"/>
        <v>0</v>
      </c>
      <c r="O32" s="171">
        <f>O33+O34</f>
        <v>0</v>
      </c>
      <c r="P32" s="169">
        <f t="shared" si="21"/>
        <v>0</v>
      </c>
      <c r="Q32" s="165">
        <f t="shared" si="21"/>
        <v>0</v>
      </c>
      <c r="R32" s="130"/>
      <c r="T32" s="130" t="b">
        <v>1</v>
      </c>
      <c r="U32" s="130" t="b">
        <v>1</v>
      </c>
      <c r="V32" s="130" t="b">
        <v>1</v>
      </c>
      <c r="W32" s="130" t="b">
        <v>1</v>
      </c>
      <c r="X32" s="130" t="b">
        <v>1</v>
      </c>
      <c r="Y32" s="130" t="b">
        <v>1</v>
      </c>
      <c r="Z32" s="130" t="b">
        <v>1</v>
      </c>
      <c r="AA32" s="130" t="b">
        <v>1</v>
      </c>
      <c r="AB32" s="130" t="b">
        <v>1</v>
      </c>
      <c r="AC32" s="130" t="b">
        <v>1</v>
      </c>
      <c r="AD32" s="130" t="b">
        <v>1</v>
      </c>
      <c r="AE32" s="130" t="b">
        <v>1</v>
      </c>
      <c r="AF32" s="130" t="b">
        <v>1</v>
      </c>
      <c r="AG32" s="130" t="b">
        <v>1</v>
      </c>
    </row>
    <row r="33" spans="2:33" ht="26.4">
      <c r="B33" s="183" t="s">
        <v>298</v>
      </c>
      <c r="C33" s="184" t="s">
        <v>264</v>
      </c>
      <c r="D33" s="237">
        <f t="shared" si="20"/>
        <v>128.91816747667099</v>
      </c>
      <c r="E33" s="238">
        <f t="shared" ref="E33:E95" si="22">SUM(F33:H33)</f>
        <v>33.184749677809997</v>
      </c>
      <c r="F33" s="273">
        <v>18.94807076791</v>
      </c>
      <c r="G33" s="274">
        <v>2.8682126081799999</v>
      </c>
      <c r="H33" s="276">
        <v>11.36846630172</v>
      </c>
      <c r="I33" s="237">
        <f t="shared" si="14"/>
        <v>95.733417798860998</v>
      </c>
      <c r="J33" s="273">
        <v>25.451773119999999</v>
      </c>
      <c r="K33" s="274">
        <v>70.281644678860999</v>
      </c>
      <c r="L33" s="274">
        <v>0</v>
      </c>
      <c r="M33" s="278">
        <v>0</v>
      </c>
      <c r="N33" s="237">
        <f t="shared" si="1"/>
        <v>0</v>
      </c>
      <c r="O33" s="243">
        <v>0</v>
      </c>
      <c r="P33" s="279">
        <v>0</v>
      </c>
      <c r="Q33" s="277">
        <v>0</v>
      </c>
      <c r="R33" s="130"/>
      <c r="T33" s="130" t="b">
        <v>1</v>
      </c>
      <c r="U33" s="130" t="b">
        <v>1</v>
      </c>
      <c r="V33" s="130" t="b">
        <v>1</v>
      </c>
      <c r="W33" s="130" t="b">
        <v>1</v>
      </c>
      <c r="X33" s="130" t="b">
        <v>1</v>
      </c>
      <c r="Y33" s="130" t="b">
        <v>1</v>
      </c>
      <c r="Z33" s="130" t="b">
        <v>1</v>
      </c>
      <c r="AA33" s="130" t="b">
        <v>1</v>
      </c>
      <c r="AB33" s="130" t="b">
        <v>1</v>
      </c>
      <c r="AC33" s="130" t="b">
        <v>1</v>
      </c>
      <c r="AD33" s="130" t="b">
        <v>1</v>
      </c>
      <c r="AE33" s="130" t="b">
        <v>1</v>
      </c>
      <c r="AF33" s="130" t="b">
        <v>1</v>
      </c>
      <c r="AG33" s="130" t="b">
        <v>1</v>
      </c>
    </row>
    <row r="34" spans="2:33" ht="15" thickBot="1">
      <c r="B34" s="183" t="s">
        <v>299</v>
      </c>
      <c r="C34" s="193" t="s">
        <v>300</v>
      </c>
      <c r="D34" s="237">
        <f t="shared" si="20"/>
        <v>0</v>
      </c>
      <c r="E34" s="238">
        <f t="shared" si="22"/>
        <v>0</v>
      </c>
      <c r="F34" s="273">
        <v>0</v>
      </c>
      <c r="G34" s="279">
        <v>0</v>
      </c>
      <c r="H34" s="280">
        <v>0</v>
      </c>
      <c r="I34" s="237">
        <f t="shared" si="14"/>
        <v>0</v>
      </c>
      <c r="J34" s="281">
        <v>0</v>
      </c>
      <c r="K34" s="279">
        <v>0</v>
      </c>
      <c r="L34" s="279">
        <v>0</v>
      </c>
      <c r="M34" s="275">
        <v>0</v>
      </c>
      <c r="N34" s="237">
        <f t="shared" si="1"/>
        <v>0</v>
      </c>
      <c r="O34" s="282">
        <v>0</v>
      </c>
      <c r="P34" s="276">
        <v>0</v>
      </c>
      <c r="Q34" s="277">
        <v>0</v>
      </c>
      <c r="R34" s="130"/>
      <c r="T34" s="130" t="b">
        <v>1</v>
      </c>
      <c r="U34" s="130" t="b">
        <v>1</v>
      </c>
      <c r="V34" s="130" t="b">
        <v>1</v>
      </c>
      <c r="W34" s="130" t="b">
        <v>1</v>
      </c>
      <c r="X34" s="130" t="b">
        <v>1</v>
      </c>
      <c r="Y34" s="130" t="b">
        <v>1</v>
      </c>
      <c r="Z34" s="130" t="b">
        <v>1</v>
      </c>
      <c r="AA34" s="130" t="b">
        <v>1</v>
      </c>
      <c r="AB34" s="130" t="b">
        <v>1</v>
      </c>
      <c r="AC34" s="130" t="b">
        <v>1</v>
      </c>
      <c r="AD34" s="130" t="b">
        <v>1</v>
      </c>
      <c r="AE34" s="130" t="b">
        <v>1</v>
      </c>
      <c r="AF34" s="130" t="b">
        <v>1</v>
      </c>
      <c r="AG34" s="130" t="b">
        <v>1</v>
      </c>
    </row>
    <row r="35" spans="2:33">
      <c r="B35" s="271" t="s">
        <v>301</v>
      </c>
      <c r="C35" s="272" t="s">
        <v>266</v>
      </c>
      <c r="D35" s="165">
        <f t="shared" si="20"/>
        <v>24.99</v>
      </c>
      <c r="E35" s="166">
        <f t="shared" si="22"/>
        <v>0</v>
      </c>
      <c r="F35" s="167">
        <f>F36</f>
        <v>0</v>
      </c>
      <c r="G35" s="168">
        <f>G36</f>
        <v>0</v>
      </c>
      <c r="H35" s="169">
        <f>H36</f>
        <v>0</v>
      </c>
      <c r="I35" s="165">
        <f t="shared" si="14"/>
        <v>24.99</v>
      </c>
      <c r="J35" s="167">
        <f t="shared" ref="J35:Q35" si="23">SUM(J36:J37)</f>
        <v>0</v>
      </c>
      <c r="K35" s="168">
        <f t="shared" si="23"/>
        <v>24.99</v>
      </c>
      <c r="L35" s="168">
        <f t="shared" si="23"/>
        <v>0</v>
      </c>
      <c r="M35" s="170">
        <f t="shared" si="23"/>
        <v>0</v>
      </c>
      <c r="N35" s="165">
        <f t="shared" si="1"/>
        <v>0</v>
      </c>
      <c r="O35" s="171">
        <f>O36+O37</f>
        <v>0</v>
      </c>
      <c r="P35" s="169">
        <f t="shared" si="23"/>
        <v>0</v>
      </c>
      <c r="Q35" s="165">
        <f t="shared" si="23"/>
        <v>0</v>
      </c>
      <c r="R35" s="130"/>
      <c r="T35" s="130" t="b">
        <v>1</v>
      </c>
      <c r="U35" s="130" t="b">
        <v>1</v>
      </c>
      <c r="V35" s="130" t="b">
        <v>1</v>
      </c>
      <c r="W35" s="130" t="b">
        <v>1</v>
      </c>
      <c r="X35" s="130" t="b">
        <v>1</v>
      </c>
      <c r="Y35" s="130" t="b">
        <v>1</v>
      </c>
      <c r="Z35" s="130" t="b">
        <v>1</v>
      </c>
      <c r="AA35" s="130" t="b">
        <v>1</v>
      </c>
      <c r="AB35" s="130" t="b">
        <v>1</v>
      </c>
      <c r="AC35" s="130" t="b">
        <v>1</v>
      </c>
      <c r="AD35" s="130" t="b">
        <v>1</v>
      </c>
      <c r="AE35" s="130" t="b">
        <v>1</v>
      </c>
      <c r="AF35" s="130" t="b">
        <v>1</v>
      </c>
      <c r="AG35" s="130" t="b">
        <v>1</v>
      </c>
    </row>
    <row r="36" spans="2:33">
      <c r="B36" s="183" t="s">
        <v>302</v>
      </c>
      <c r="C36" s="184" t="s">
        <v>303</v>
      </c>
      <c r="D36" s="237">
        <f t="shared" si="20"/>
        <v>24.99</v>
      </c>
      <c r="E36" s="238">
        <f t="shared" si="22"/>
        <v>0</v>
      </c>
      <c r="F36" s="239">
        <v>0</v>
      </c>
      <c r="G36" s="279">
        <v>0</v>
      </c>
      <c r="H36" s="241">
        <v>0</v>
      </c>
      <c r="I36" s="237">
        <f t="shared" si="14"/>
        <v>24.99</v>
      </c>
      <c r="J36" s="239">
        <v>0</v>
      </c>
      <c r="K36" s="279">
        <v>24.99</v>
      </c>
      <c r="L36" s="279">
        <v>0</v>
      </c>
      <c r="M36" s="283">
        <v>0</v>
      </c>
      <c r="N36" s="237">
        <f t="shared" si="1"/>
        <v>0</v>
      </c>
      <c r="O36" s="243">
        <v>0</v>
      </c>
      <c r="P36" s="276">
        <v>0</v>
      </c>
      <c r="Q36" s="277">
        <v>0</v>
      </c>
      <c r="R36" s="130"/>
      <c r="T36" s="130" t="b">
        <v>1</v>
      </c>
      <c r="U36" s="130" t="b">
        <v>1</v>
      </c>
      <c r="V36" s="130" t="b">
        <v>1</v>
      </c>
      <c r="W36" s="130" t="b">
        <v>1</v>
      </c>
      <c r="X36" s="130" t="b">
        <v>1</v>
      </c>
      <c r="Y36" s="130" t="b">
        <v>1</v>
      </c>
      <c r="Z36" s="130" t="b">
        <v>1</v>
      </c>
      <c r="AA36" s="130" t="b">
        <v>1</v>
      </c>
      <c r="AB36" s="130" t="b">
        <v>1</v>
      </c>
      <c r="AC36" s="130" t="b">
        <v>1</v>
      </c>
      <c r="AD36" s="130" t="b">
        <v>1</v>
      </c>
      <c r="AE36" s="130" t="b">
        <v>1</v>
      </c>
      <c r="AF36" s="130" t="b">
        <v>1</v>
      </c>
      <c r="AG36" s="130" t="b">
        <v>1</v>
      </c>
    </row>
    <row r="37" spans="2:33" ht="15" thickBot="1">
      <c r="B37" s="183" t="s">
        <v>304</v>
      </c>
      <c r="C37" s="184" t="s">
        <v>305</v>
      </c>
      <c r="D37" s="237">
        <f t="shared" si="20"/>
        <v>0</v>
      </c>
      <c r="E37" s="238">
        <f t="shared" si="22"/>
        <v>0</v>
      </c>
      <c r="F37" s="239">
        <v>0</v>
      </c>
      <c r="G37" s="240">
        <v>0</v>
      </c>
      <c r="H37" s="241">
        <v>0</v>
      </c>
      <c r="I37" s="237">
        <f t="shared" si="14"/>
        <v>0</v>
      </c>
      <c r="J37" s="239">
        <v>0</v>
      </c>
      <c r="K37" s="240">
        <v>0</v>
      </c>
      <c r="L37" s="279">
        <v>0</v>
      </c>
      <c r="M37" s="283">
        <v>0</v>
      </c>
      <c r="N37" s="237">
        <f t="shared" si="1"/>
        <v>0</v>
      </c>
      <c r="O37" s="243">
        <v>0</v>
      </c>
      <c r="P37" s="276">
        <v>0</v>
      </c>
      <c r="Q37" s="277">
        <v>0</v>
      </c>
      <c r="R37" s="130"/>
      <c r="T37" s="130" t="b">
        <v>1</v>
      </c>
      <c r="U37" s="130" t="b">
        <v>1</v>
      </c>
      <c r="V37" s="130" t="b">
        <v>1</v>
      </c>
      <c r="W37" s="130" t="b">
        <v>1</v>
      </c>
      <c r="X37" s="130" t="b">
        <v>1</v>
      </c>
      <c r="Y37" s="130" t="b">
        <v>1</v>
      </c>
      <c r="Z37" s="130" t="b">
        <v>1</v>
      </c>
      <c r="AA37" s="130" t="b">
        <v>1</v>
      </c>
      <c r="AB37" s="130" t="b">
        <v>1</v>
      </c>
      <c r="AC37" s="130" t="b">
        <v>1</v>
      </c>
      <c r="AD37" s="130" t="b">
        <v>1</v>
      </c>
      <c r="AE37" s="130" t="b">
        <v>1</v>
      </c>
      <c r="AF37" s="130" t="b">
        <v>1</v>
      </c>
      <c r="AG37" s="130" t="b">
        <v>1</v>
      </c>
    </row>
    <row r="38" spans="2:33">
      <c r="B38" s="271" t="s">
        <v>306</v>
      </c>
      <c r="C38" s="272" t="s">
        <v>307</v>
      </c>
      <c r="D38" s="165">
        <f t="shared" si="20"/>
        <v>60.600327999999998</v>
      </c>
      <c r="E38" s="166">
        <f t="shared" si="22"/>
        <v>8.82836</v>
      </c>
      <c r="F38" s="167">
        <f>SUM(F39:F40)</f>
        <v>0.68440999999999996</v>
      </c>
      <c r="G38" s="168">
        <f>SUM(G39:G40)</f>
        <v>0</v>
      </c>
      <c r="H38" s="169">
        <f>SUM(H39:H40)</f>
        <v>8.1439500000000002</v>
      </c>
      <c r="I38" s="165">
        <f t="shared" si="14"/>
        <v>46.291076000000004</v>
      </c>
      <c r="J38" s="167">
        <f t="shared" ref="J38:Q38" si="24">SUM(J39:J40)</f>
        <v>24.013016</v>
      </c>
      <c r="K38" s="168">
        <f t="shared" si="24"/>
        <v>3.4102399999999999</v>
      </c>
      <c r="L38" s="168">
        <f t="shared" si="24"/>
        <v>18.867819999999998</v>
      </c>
      <c r="M38" s="170">
        <f t="shared" si="24"/>
        <v>0</v>
      </c>
      <c r="N38" s="165">
        <f t="shared" si="1"/>
        <v>0.88541000000000003</v>
      </c>
      <c r="O38" s="171">
        <f>SUM(O39:O40)</f>
        <v>0.88541000000000003</v>
      </c>
      <c r="P38" s="169">
        <f t="shared" si="24"/>
        <v>0</v>
      </c>
      <c r="Q38" s="165">
        <f t="shared" si="24"/>
        <v>4.5954819999999996</v>
      </c>
      <c r="R38" s="130"/>
      <c r="T38" s="130" t="b">
        <v>1</v>
      </c>
      <c r="U38" s="130" t="b">
        <v>1</v>
      </c>
      <c r="V38" s="130" t="b">
        <v>1</v>
      </c>
      <c r="W38" s="130" t="b">
        <v>1</v>
      </c>
      <c r="X38" s="130" t="b">
        <v>1</v>
      </c>
      <c r="Y38" s="130" t="b">
        <v>1</v>
      </c>
      <c r="Z38" s="130" t="b">
        <v>1</v>
      </c>
      <c r="AA38" s="130" t="b">
        <v>1</v>
      </c>
      <c r="AB38" s="130" t="b">
        <v>1</v>
      </c>
      <c r="AC38" s="130" t="b">
        <v>1</v>
      </c>
      <c r="AD38" s="130" t="b">
        <v>1</v>
      </c>
      <c r="AE38" s="130" t="b">
        <v>1</v>
      </c>
      <c r="AF38" s="130" t="b">
        <v>1</v>
      </c>
      <c r="AG38" s="130" t="b">
        <v>1</v>
      </c>
    </row>
    <row r="39" spans="2:33" ht="26.4">
      <c r="B39" s="183" t="s">
        <v>308</v>
      </c>
      <c r="C39" s="184" t="s">
        <v>309</v>
      </c>
      <c r="D39" s="237">
        <f t="shared" si="20"/>
        <v>59.714918000000004</v>
      </c>
      <c r="E39" s="238">
        <f t="shared" si="22"/>
        <v>8.82836</v>
      </c>
      <c r="F39" s="273">
        <v>0.68440999999999996</v>
      </c>
      <c r="G39" s="274">
        <v>0</v>
      </c>
      <c r="H39" s="276">
        <v>8.1439500000000002</v>
      </c>
      <c r="I39" s="237">
        <f t="shared" si="14"/>
        <v>46.291076000000004</v>
      </c>
      <c r="J39" s="273">
        <v>24.013016</v>
      </c>
      <c r="K39" s="274">
        <v>3.4102399999999999</v>
      </c>
      <c r="L39" s="274">
        <v>18.867819999999998</v>
      </c>
      <c r="M39" s="275">
        <v>0</v>
      </c>
      <c r="N39" s="237">
        <f t="shared" si="1"/>
        <v>0</v>
      </c>
      <c r="O39" s="282">
        <v>0</v>
      </c>
      <c r="P39" s="276">
        <v>0</v>
      </c>
      <c r="Q39" s="277">
        <v>4.5954819999999996</v>
      </c>
      <c r="R39" s="130"/>
      <c r="T39" s="130" t="b">
        <v>1</v>
      </c>
      <c r="U39" s="130" t="b">
        <v>1</v>
      </c>
      <c r="V39" s="130" t="b">
        <v>1</v>
      </c>
      <c r="W39" s="130" t="b">
        <v>1</v>
      </c>
      <c r="X39" s="130" t="b">
        <v>1</v>
      </c>
      <c r="Y39" s="130" t="b">
        <v>1</v>
      </c>
      <c r="Z39" s="130" t="b">
        <v>1</v>
      </c>
      <c r="AA39" s="130" t="b">
        <v>1</v>
      </c>
      <c r="AB39" s="130" t="b">
        <v>1</v>
      </c>
      <c r="AC39" s="130" t="b">
        <v>1</v>
      </c>
      <c r="AD39" s="130" t="b">
        <v>1</v>
      </c>
      <c r="AE39" s="130" t="b">
        <v>1</v>
      </c>
      <c r="AF39" s="130" t="b">
        <v>1</v>
      </c>
      <c r="AG39" s="130" t="b">
        <v>1</v>
      </c>
    </row>
    <row r="40" spans="2:33" ht="15" thickBot="1">
      <c r="B40" s="183" t="s">
        <v>310</v>
      </c>
      <c r="C40" s="184" t="s">
        <v>311</v>
      </c>
      <c r="D40" s="237">
        <f t="shared" si="20"/>
        <v>0.88541000000000003</v>
      </c>
      <c r="E40" s="238">
        <f t="shared" si="22"/>
        <v>0</v>
      </c>
      <c r="F40" s="273">
        <v>0</v>
      </c>
      <c r="G40" s="274">
        <v>0</v>
      </c>
      <c r="H40" s="276">
        <v>0</v>
      </c>
      <c r="I40" s="237">
        <f t="shared" si="14"/>
        <v>0</v>
      </c>
      <c r="J40" s="273">
        <v>0</v>
      </c>
      <c r="K40" s="274">
        <v>0</v>
      </c>
      <c r="L40" s="274">
        <v>0</v>
      </c>
      <c r="M40" s="275">
        <v>0</v>
      </c>
      <c r="N40" s="237">
        <f t="shared" si="1"/>
        <v>0.88541000000000003</v>
      </c>
      <c r="O40" s="282">
        <v>0.88541000000000003</v>
      </c>
      <c r="P40" s="276">
        <v>0</v>
      </c>
      <c r="Q40" s="277">
        <v>0</v>
      </c>
      <c r="R40" s="130"/>
      <c r="T40" s="130" t="b">
        <v>1</v>
      </c>
      <c r="U40" s="130" t="b">
        <v>1</v>
      </c>
      <c r="V40" s="130" t="b">
        <v>1</v>
      </c>
      <c r="W40" s="130" t="b">
        <v>1</v>
      </c>
      <c r="X40" s="130" t="b">
        <v>1</v>
      </c>
      <c r="Y40" s="130" t="b">
        <v>1</v>
      </c>
      <c r="Z40" s="130" t="b">
        <v>1</v>
      </c>
      <c r="AA40" s="130" t="b">
        <v>1</v>
      </c>
      <c r="AB40" s="130" t="b">
        <v>1</v>
      </c>
      <c r="AC40" s="130" t="b">
        <v>1</v>
      </c>
      <c r="AD40" s="130" t="b">
        <v>1</v>
      </c>
      <c r="AE40" s="130" t="b">
        <v>1</v>
      </c>
      <c r="AF40" s="130" t="b">
        <v>1</v>
      </c>
      <c r="AG40" s="130" t="b">
        <v>1</v>
      </c>
    </row>
    <row r="41" spans="2:33">
      <c r="B41" s="271" t="s">
        <v>312</v>
      </c>
      <c r="C41" s="272" t="s">
        <v>313</v>
      </c>
      <c r="D41" s="165">
        <f t="shared" si="20"/>
        <v>0</v>
      </c>
      <c r="E41" s="166">
        <f t="shared" si="22"/>
        <v>0</v>
      </c>
      <c r="F41" s="167">
        <f>F42</f>
        <v>0</v>
      </c>
      <c r="G41" s="168">
        <f t="shared" ref="G41:Q41" si="25">G42</f>
        <v>0</v>
      </c>
      <c r="H41" s="169">
        <f t="shared" si="25"/>
        <v>0</v>
      </c>
      <c r="I41" s="165">
        <f t="shared" si="14"/>
        <v>0</v>
      </c>
      <c r="J41" s="167">
        <f t="shared" si="25"/>
        <v>0</v>
      </c>
      <c r="K41" s="168">
        <f t="shared" si="25"/>
        <v>0</v>
      </c>
      <c r="L41" s="168">
        <f t="shared" si="25"/>
        <v>0</v>
      </c>
      <c r="M41" s="170">
        <f t="shared" si="25"/>
        <v>0</v>
      </c>
      <c r="N41" s="165">
        <f t="shared" si="1"/>
        <v>0</v>
      </c>
      <c r="O41" s="171">
        <f>O42</f>
        <v>0</v>
      </c>
      <c r="P41" s="169">
        <f t="shared" si="25"/>
        <v>0</v>
      </c>
      <c r="Q41" s="165">
        <f t="shared" si="25"/>
        <v>0</v>
      </c>
      <c r="R41" s="130"/>
      <c r="T41" s="130" t="b">
        <v>1</v>
      </c>
      <c r="U41" s="130" t="b">
        <v>1</v>
      </c>
      <c r="V41" s="130" t="b">
        <v>1</v>
      </c>
      <c r="W41" s="130" t="b">
        <v>1</v>
      </c>
      <c r="X41" s="130" t="b">
        <v>1</v>
      </c>
      <c r="Y41" s="130" t="b">
        <v>1</v>
      </c>
      <c r="Z41" s="130" t="b">
        <v>1</v>
      </c>
      <c r="AA41" s="130" t="b">
        <v>1</v>
      </c>
      <c r="AB41" s="130" t="b">
        <v>1</v>
      </c>
      <c r="AC41" s="130" t="b">
        <v>1</v>
      </c>
      <c r="AD41" s="130" t="b">
        <v>1</v>
      </c>
      <c r="AE41" s="130" t="b">
        <v>1</v>
      </c>
      <c r="AF41" s="130" t="b">
        <v>1</v>
      </c>
      <c r="AG41" s="130" t="b">
        <v>1</v>
      </c>
    </row>
    <row r="42" spans="2:33" ht="15" thickBot="1">
      <c r="B42" s="183" t="s">
        <v>314</v>
      </c>
      <c r="C42" s="184" t="s">
        <v>315</v>
      </c>
      <c r="D42" s="237">
        <f t="shared" si="20"/>
        <v>0</v>
      </c>
      <c r="E42" s="238">
        <f t="shared" si="22"/>
        <v>0</v>
      </c>
      <c r="F42" s="273">
        <v>0</v>
      </c>
      <c r="G42" s="274">
        <v>0</v>
      </c>
      <c r="H42" s="276">
        <v>0</v>
      </c>
      <c r="I42" s="237">
        <f t="shared" si="14"/>
        <v>0</v>
      </c>
      <c r="J42" s="273">
        <v>0</v>
      </c>
      <c r="K42" s="274">
        <v>0</v>
      </c>
      <c r="L42" s="274">
        <v>0</v>
      </c>
      <c r="M42" s="275">
        <v>0</v>
      </c>
      <c r="N42" s="237">
        <f t="shared" si="1"/>
        <v>0</v>
      </c>
      <c r="O42" s="282">
        <v>0</v>
      </c>
      <c r="P42" s="276">
        <v>0</v>
      </c>
      <c r="Q42" s="277">
        <v>0</v>
      </c>
      <c r="R42" s="130"/>
      <c r="T42" s="130" t="b">
        <v>1</v>
      </c>
      <c r="U42" s="130" t="b">
        <v>1</v>
      </c>
      <c r="V42" s="130" t="b">
        <v>1</v>
      </c>
      <c r="W42" s="130" t="b">
        <v>1</v>
      </c>
      <c r="X42" s="130" t="b">
        <v>1</v>
      </c>
      <c r="Y42" s="130" t="b">
        <v>1</v>
      </c>
      <c r="Z42" s="130" t="b">
        <v>1</v>
      </c>
      <c r="AA42" s="130" t="b">
        <v>1</v>
      </c>
      <c r="AB42" s="130" t="b">
        <v>1</v>
      </c>
      <c r="AC42" s="130" t="b">
        <v>1</v>
      </c>
      <c r="AD42" s="130" t="b">
        <v>1</v>
      </c>
      <c r="AE42" s="130" t="b">
        <v>1</v>
      </c>
      <c r="AF42" s="130" t="b">
        <v>1</v>
      </c>
      <c r="AG42" s="130" t="b">
        <v>1</v>
      </c>
    </row>
    <row r="43" spans="2:33">
      <c r="B43" s="271" t="s">
        <v>316</v>
      </c>
      <c r="C43" s="272" t="s">
        <v>317</v>
      </c>
      <c r="D43" s="165">
        <f t="shared" si="20"/>
        <v>84.848478</v>
      </c>
      <c r="E43" s="166">
        <f>SUM(F43:H43)</f>
        <v>27.256409999999999</v>
      </c>
      <c r="F43" s="167">
        <f>SUM(F44:F48)</f>
        <v>1.0649600000000001</v>
      </c>
      <c r="G43" s="168">
        <f>SUM(G44:G48)</f>
        <v>3.39</v>
      </c>
      <c r="H43" s="169">
        <f>SUM(H44:H48)</f>
        <v>22.801449999999999</v>
      </c>
      <c r="I43" s="165">
        <f t="shared" si="14"/>
        <v>48.370943999999994</v>
      </c>
      <c r="J43" s="167">
        <f t="shared" ref="J43:Q43" si="26">SUM(J44:J48)</f>
        <v>24.283054</v>
      </c>
      <c r="K43" s="168">
        <f t="shared" si="26"/>
        <v>13.249099999999999</v>
      </c>
      <c r="L43" s="168">
        <f t="shared" si="26"/>
        <v>10.838789999999999</v>
      </c>
      <c r="M43" s="170">
        <f t="shared" si="26"/>
        <v>1.36229</v>
      </c>
      <c r="N43" s="165">
        <f t="shared" si="1"/>
        <v>0</v>
      </c>
      <c r="O43" s="171">
        <f>SUM(O44:O48)</f>
        <v>0</v>
      </c>
      <c r="P43" s="169">
        <f t="shared" si="26"/>
        <v>0</v>
      </c>
      <c r="Q43" s="165">
        <f t="shared" si="26"/>
        <v>7.8588340000000008</v>
      </c>
      <c r="R43" s="130"/>
      <c r="T43" s="130" t="b">
        <v>1</v>
      </c>
      <c r="U43" s="130" t="b">
        <v>1</v>
      </c>
      <c r="V43" s="130" t="b">
        <v>1</v>
      </c>
      <c r="W43" s="130" t="b">
        <v>1</v>
      </c>
      <c r="X43" s="130" t="b">
        <v>1</v>
      </c>
      <c r="Y43" s="130" t="b">
        <v>1</v>
      </c>
      <c r="Z43" s="130" t="b">
        <v>1</v>
      </c>
      <c r="AA43" s="130" t="b">
        <v>1</v>
      </c>
      <c r="AB43" s="130" t="b">
        <v>1</v>
      </c>
      <c r="AC43" s="130" t="b">
        <v>1</v>
      </c>
      <c r="AD43" s="130" t="b">
        <v>1</v>
      </c>
      <c r="AE43" s="130" t="b">
        <v>1</v>
      </c>
      <c r="AF43" s="130" t="b">
        <v>1</v>
      </c>
      <c r="AG43" s="130" t="b">
        <v>1</v>
      </c>
    </row>
    <row r="44" spans="2:33">
      <c r="B44" s="183" t="s">
        <v>318</v>
      </c>
      <c r="C44" s="184" t="s">
        <v>270</v>
      </c>
      <c r="D44" s="237">
        <f t="shared" si="20"/>
        <v>40.583260000000003</v>
      </c>
      <c r="E44" s="238">
        <f t="shared" si="22"/>
        <v>17.640629999999998</v>
      </c>
      <c r="F44" s="1268">
        <v>0.81496000000000002</v>
      </c>
      <c r="G44" s="1269">
        <v>0</v>
      </c>
      <c r="H44" s="1270">
        <v>16.825669999999999</v>
      </c>
      <c r="I44" s="237">
        <f t="shared" si="14"/>
        <v>15.56869</v>
      </c>
      <c r="J44" s="1271">
        <v>10.620810000000001</v>
      </c>
      <c r="K44" s="1272">
        <v>3.1021100000000001</v>
      </c>
      <c r="L44" s="1272">
        <v>1.8457699999999999</v>
      </c>
      <c r="M44" s="1273">
        <v>1.36229</v>
      </c>
      <c r="N44" s="237">
        <f t="shared" si="1"/>
        <v>0</v>
      </c>
      <c r="O44" s="1274">
        <v>0</v>
      </c>
      <c r="P44" s="1275">
        <v>0</v>
      </c>
      <c r="Q44" s="1276">
        <v>6.0116500000000004</v>
      </c>
      <c r="R44" s="130"/>
      <c r="T44" s="130" t="b">
        <v>1</v>
      </c>
      <c r="U44" s="130" t="b">
        <v>1</v>
      </c>
      <c r="V44" s="130" t="b">
        <v>1</v>
      </c>
      <c r="W44" s="130" t="b">
        <v>1</v>
      </c>
      <c r="X44" s="130" t="b">
        <v>1</v>
      </c>
      <c r="Y44" s="130" t="b">
        <v>1</v>
      </c>
      <c r="Z44" s="130" t="b">
        <v>1</v>
      </c>
      <c r="AA44" s="130" t="b">
        <v>1</v>
      </c>
      <c r="AB44" s="130" t="b">
        <v>1</v>
      </c>
      <c r="AC44" s="130" t="b">
        <v>1</v>
      </c>
      <c r="AD44" s="130" t="b">
        <v>1</v>
      </c>
      <c r="AE44" s="130" t="b">
        <v>1</v>
      </c>
      <c r="AF44" s="130" t="b">
        <v>1</v>
      </c>
      <c r="AG44" s="130" t="b">
        <v>1</v>
      </c>
    </row>
    <row r="45" spans="2:33">
      <c r="B45" s="183" t="s">
        <v>319</v>
      </c>
      <c r="C45" s="184" t="s">
        <v>274</v>
      </c>
      <c r="D45" s="237">
        <f t="shared" si="20"/>
        <v>36.157054000000002</v>
      </c>
      <c r="E45" s="238">
        <f t="shared" si="22"/>
        <v>3.64</v>
      </c>
      <c r="F45" s="1268">
        <v>0.25</v>
      </c>
      <c r="G45" s="1269">
        <v>3.39</v>
      </c>
      <c r="H45" s="1270">
        <v>0</v>
      </c>
      <c r="I45" s="237">
        <f t="shared" si="14"/>
        <v>30.741374</v>
      </c>
      <c r="J45" s="1271">
        <v>13.276643999999999</v>
      </c>
      <c r="K45" s="1272">
        <v>9.0467099999999991</v>
      </c>
      <c r="L45" s="1272">
        <v>8.4180200000000003</v>
      </c>
      <c r="M45" s="1273">
        <v>0</v>
      </c>
      <c r="N45" s="237">
        <f t="shared" si="1"/>
        <v>0</v>
      </c>
      <c r="O45" s="1274">
        <v>0</v>
      </c>
      <c r="P45" s="1275">
        <v>0</v>
      </c>
      <c r="Q45" s="1276">
        <f>1.557176+0.218504</f>
        <v>1.7756799999999999</v>
      </c>
      <c r="R45" s="130"/>
      <c r="T45" s="130" t="b">
        <v>1</v>
      </c>
      <c r="U45" s="130" t="b">
        <v>1</v>
      </c>
      <c r="V45" s="130" t="b">
        <v>1</v>
      </c>
      <c r="W45" s="130" t="b">
        <v>1</v>
      </c>
      <c r="X45" s="130" t="b">
        <v>1</v>
      </c>
      <c r="Y45" s="130" t="b">
        <v>1</v>
      </c>
      <c r="Z45" s="130" t="b">
        <v>1</v>
      </c>
      <c r="AA45" s="130" t="b">
        <v>1</v>
      </c>
      <c r="AB45" s="130" t="b">
        <v>1</v>
      </c>
      <c r="AC45" s="130" t="b">
        <v>1</v>
      </c>
      <c r="AD45" s="130" t="b">
        <v>1</v>
      </c>
      <c r="AE45" s="130" t="b">
        <v>1</v>
      </c>
      <c r="AF45" s="130" t="b">
        <v>1</v>
      </c>
      <c r="AG45" s="130" t="b">
        <v>1</v>
      </c>
    </row>
    <row r="46" spans="2:33">
      <c r="B46" s="183" t="s">
        <v>320</v>
      </c>
      <c r="C46" s="284" t="s">
        <v>321</v>
      </c>
      <c r="D46" s="237">
        <f t="shared" si="20"/>
        <v>2.0319000000000003</v>
      </c>
      <c r="E46" s="238">
        <f t="shared" si="22"/>
        <v>1.2395</v>
      </c>
      <c r="F46" s="1268">
        <v>0</v>
      </c>
      <c r="G46" s="1269">
        <v>0</v>
      </c>
      <c r="H46" s="1270">
        <v>1.2395</v>
      </c>
      <c r="I46" s="237">
        <f t="shared" si="14"/>
        <v>0.79239999999999999</v>
      </c>
      <c r="J46" s="1271">
        <v>0.3856</v>
      </c>
      <c r="K46" s="1272">
        <v>0.40679999999999999</v>
      </c>
      <c r="L46" s="1272">
        <v>0</v>
      </c>
      <c r="M46" s="1273">
        <v>0</v>
      </c>
      <c r="N46" s="237">
        <f t="shared" si="1"/>
        <v>0</v>
      </c>
      <c r="O46" s="1274">
        <v>0</v>
      </c>
      <c r="P46" s="1275">
        <v>0</v>
      </c>
      <c r="Q46" s="1276">
        <v>0</v>
      </c>
      <c r="R46" s="130"/>
      <c r="T46" s="130" t="b">
        <v>1</v>
      </c>
      <c r="U46" s="130" t="b">
        <v>1</v>
      </c>
      <c r="V46" s="130" t="b">
        <v>1</v>
      </c>
      <c r="W46" s="130" t="b">
        <v>1</v>
      </c>
      <c r="X46" s="130" t="b">
        <v>1</v>
      </c>
      <c r="Y46" s="130" t="b">
        <v>1</v>
      </c>
      <c r="Z46" s="130" t="b">
        <v>1</v>
      </c>
      <c r="AA46" s="130" t="b">
        <v>1</v>
      </c>
      <c r="AB46" s="130" t="b">
        <v>1</v>
      </c>
      <c r="AC46" s="130" t="b">
        <v>1</v>
      </c>
      <c r="AD46" s="130" t="b">
        <v>1</v>
      </c>
      <c r="AE46" s="130" t="b">
        <v>1</v>
      </c>
      <c r="AF46" s="130" t="b">
        <v>1</v>
      </c>
      <c r="AG46" s="130" t="b">
        <v>1</v>
      </c>
    </row>
    <row r="47" spans="2:33">
      <c r="B47" s="183" t="s">
        <v>322</v>
      </c>
      <c r="C47" s="285" t="s">
        <v>272</v>
      </c>
      <c r="D47" s="237">
        <f t="shared" si="20"/>
        <v>4.7362799999999998</v>
      </c>
      <c r="E47" s="238">
        <f t="shared" si="22"/>
        <v>4.7362799999999998</v>
      </c>
      <c r="F47" s="1268">
        <v>0</v>
      </c>
      <c r="G47" s="1269">
        <v>0</v>
      </c>
      <c r="H47" s="1270">
        <v>4.7362799999999998</v>
      </c>
      <c r="I47" s="237">
        <f t="shared" si="14"/>
        <v>0</v>
      </c>
      <c r="J47" s="1271">
        <v>0</v>
      </c>
      <c r="K47" s="1272">
        <v>0</v>
      </c>
      <c r="L47" s="1272">
        <v>0</v>
      </c>
      <c r="M47" s="1273">
        <v>0</v>
      </c>
      <c r="N47" s="237">
        <f t="shared" si="1"/>
        <v>0</v>
      </c>
      <c r="O47" s="1274">
        <v>0</v>
      </c>
      <c r="P47" s="1275">
        <v>0</v>
      </c>
      <c r="Q47" s="1276">
        <v>0</v>
      </c>
      <c r="R47" s="130"/>
      <c r="T47" s="130" t="b">
        <v>1</v>
      </c>
      <c r="U47" s="130" t="b">
        <v>1</v>
      </c>
      <c r="V47" s="130" t="b">
        <v>1</v>
      </c>
      <c r="W47" s="130" t="b">
        <v>1</v>
      </c>
      <c r="X47" s="130" t="b">
        <v>1</v>
      </c>
      <c r="Y47" s="130" t="b">
        <v>1</v>
      </c>
      <c r="Z47" s="130" t="b">
        <v>1</v>
      </c>
      <c r="AA47" s="130" t="b">
        <v>1</v>
      </c>
      <c r="AB47" s="130" t="b">
        <v>1</v>
      </c>
      <c r="AC47" s="130" t="b">
        <v>1</v>
      </c>
      <c r="AD47" s="130" t="b">
        <v>1</v>
      </c>
      <c r="AE47" s="130" t="b">
        <v>1</v>
      </c>
      <c r="AF47" s="130" t="b">
        <v>1</v>
      </c>
      <c r="AG47" s="130" t="b">
        <v>1</v>
      </c>
    </row>
    <row r="48" spans="2:33" ht="27.6" thickBot="1">
      <c r="B48" s="183" t="s">
        <v>323</v>
      </c>
      <c r="C48" s="285" t="s">
        <v>324</v>
      </c>
      <c r="D48" s="237">
        <f t="shared" si="20"/>
        <v>1.3399839999999998</v>
      </c>
      <c r="E48" s="238">
        <f t="shared" si="22"/>
        <v>0</v>
      </c>
      <c r="F48" s="1268">
        <v>0</v>
      </c>
      <c r="G48" s="1269">
        <v>0</v>
      </c>
      <c r="H48" s="1270">
        <v>0</v>
      </c>
      <c r="I48" s="237">
        <f t="shared" si="14"/>
        <v>1.2684799999999998</v>
      </c>
      <c r="J48" s="1271">
        <v>0</v>
      </c>
      <c r="K48" s="1272">
        <v>0.69347999999999999</v>
      </c>
      <c r="L48" s="1272">
        <v>0.57499999999999996</v>
      </c>
      <c r="M48" s="1273">
        <v>0</v>
      </c>
      <c r="N48" s="237">
        <f t="shared" si="1"/>
        <v>0</v>
      </c>
      <c r="O48" s="1274">
        <v>0</v>
      </c>
      <c r="P48" s="1275">
        <v>0</v>
      </c>
      <c r="Q48" s="1276">
        <v>7.1503999999999998E-2</v>
      </c>
      <c r="R48" s="130"/>
      <c r="T48" s="130" t="b">
        <v>1</v>
      </c>
      <c r="U48" s="130" t="b">
        <v>1</v>
      </c>
      <c r="V48" s="130" t="b">
        <v>1</v>
      </c>
      <c r="W48" s="130" t="b">
        <v>1</v>
      </c>
      <c r="X48" s="130" t="b">
        <v>1</v>
      </c>
      <c r="Y48" s="130" t="b">
        <v>1</v>
      </c>
      <c r="Z48" s="130" t="b">
        <v>1</v>
      </c>
      <c r="AA48" s="130" t="b">
        <v>1</v>
      </c>
      <c r="AB48" s="130" t="b">
        <v>1</v>
      </c>
      <c r="AC48" s="130" t="b">
        <v>1</v>
      </c>
      <c r="AD48" s="130" t="b">
        <v>1</v>
      </c>
      <c r="AE48" s="130" t="b">
        <v>1</v>
      </c>
      <c r="AF48" s="130" t="b">
        <v>1</v>
      </c>
      <c r="AG48" s="130" t="b">
        <v>1</v>
      </c>
    </row>
    <row r="49" spans="1:33" ht="15" thickBot="1">
      <c r="B49" s="271" t="s">
        <v>325</v>
      </c>
      <c r="C49" s="272" t="s">
        <v>326</v>
      </c>
      <c r="D49" s="165">
        <f t="shared" si="20"/>
        <v>243.83085371428572</v>
      </c>
      <c r="E49" s="166">
        <f t="shared" si="22"/>
        <v>64.733264000000005</v>
      </c>
      <c r="F49" s="286">
        <v>8.3681900000000002</v>
      </c>
      <c r="G49" s="287">
        <v>27.023734000000001</v>
      </c>
      <c r="H49" s="288">
        <v>29.341339999999999</v>
      </c>
      <c r="I49" s="165">
        <f t="shared" si="14"/>
        <v>178.68304971428572</v>
      </c>
      <c r="J49" s="286">
        <v>77.006280000000004</v>
      </c>
      <c r="K49" s="287">
        <v>100.92485000000001</v>
      </c>
      <c r="L49" s="287">
        <v>0.75191971428571402</v>
      </c>
      <c r="M49" s="289">
        <v>0</v>
      </c>
      <c r="N49" s="165">
        <f t="shared" si="1"/>
        <v>0.41454000000000002</v>
      </c>
      <c r="O49" s="290">
        <v>0.41454000000000002</v>
      </c>
      <c r="P49" s="288">
        <v>0</v>
      </c>
      <c r="Q49" s="291">
        <v>0</v>
      </c>
      <c r="R49" s="130"/>
      <c r="T49" s="130" t="b">
        <v>1</v>
      </c>
      <c r="U49" s="130" t="b">
        <v>1</v>
      </c>
      <c r="V49" s="130" t="b">
        <v>1</v>
      </c>
      <c r="W49" s="130" t="b">
        <v>1</v>
      </c>
      <c r="X49" s="130" t="b">
        <v>1</v>
      </c>
      <c r="Y49" s="130" t="b">
        <v>1</v>
      </c>
      <c r="Z49" s="130" t="b">
        <v>1</v>
      </c>
      <c r="AA49" s="130" t="b">
        <v>1</v>
      </c>
      <c r="AB49" s="130" t="b">
        <v>1</v>
      </c>
      <c r="AC49" s="130" t="b">
        <v>1</v>
      </c>
      <c r="AD49" s="130" t="b">
        <v>1</v>
      </c>
      <c r="AE49" s="130" t="b">
        <v>1</v>
      </c>
      <c r="AF49" s="130" t="b">
        <v>1</v>
      </c>
      <c r="AG49" s="130" t="b">
        <v>1</v>
      </c>
    </row>
    <row r="50" spans="1:33">
      <c r="B50" s="271" t="s">
        <v>327</v>
      </c>
      <c r="C50" s="272" t="s">
        <v>328</v>
      </c>
      <c r="D50" s="165">
        <f t="shared" si="20"/>
        <v>215.15599600000002</v>
      </c>
      <c r="E50" s="166">
        <f t="shared" si="22"/>
        <v>72.26867</v>
      </c>
      <c r="F50" s="167">
        <f>SUM(F51:F54)</f>
        <v>35.075420000000001</v>
      </c>
      <c r="G50" s="168">
        <f>SUM(G51:G54)</f>
        <v>0</v>
      </c>
      <c r="H50" s="169">
        <f>SUM(H51:H54)</f>
        <v>37.193249999999999</v>
      </c>
      <c r="I50" s="165">
        <f t="shared" si="14"/>
        <v>103.354608</v>
      </c>
      <c r="J50" s="167">
        <f t="shared" ref="J50:Q50" si="27">SUM(J51:J54)</f>
        <v>32.469908000000004</v>
      </c>
      <c r="K50" s="168">
        <f t="shared" si="27"/>
        <v>49.85116</v>
      </c>
      <c r="L50" s="168">
        <f t="shared" si="27"/>
        <v>21.033540000000002</v>
      </c>
      <c r="M50" s="170">
        <f t="shared" si="27"/>
        <v>1.4106000000000001</v>
      </c>
      <c r="N50" s="165">
        <f t="shared" si="1"/>
        <v>27.342739999999999</v>
      </c>
      <c r="O50" s="171">
        <f>SUM(O51:O54)</f>
        <v>27.342739999999999</v>
      </c>
      <c r="P50" s="169">
        <f t="shared" si="27"/>
        <v>0</v>
      </c>
      <c r="Q50" s="165">
        <f t="shared" si="27"/>
        <v>10.779377999999999</v>
      </c>
      <c r="R50" s="130"/>
      <c r="T50" s="130" t="b">
        <v>1</v>
      </c>
      <c r="U50" s="130" t="b">
        <v>1</v>
      </c>
      <c r="V50" s="130" t="b">
        <v>1</v>
      </c>
      <c r="W50" s="130" t="b">
        <v>1</v>
      </c>
      <c r="X50" s="130" t="b">
        <v>1</v>
      </c>
      <c r="Y50" s="130" t="b">
        <v>1</v>
      </c>
      <c r="Z50" s="130" t="b">
        <v>1</v>
      </c>
      <c r="AA50" s="130" t="b">
        <v>1</v>
      </c>
      <c r="AB50" s="130" t="b">
        <v>1</v>
      </c>
      <c r="AC50" s="130" t="b">
        <v>1</v>
      </c>
      <c r="AD50" s="130" t="b">
        <v>1</v>
      </c>
      <c r="AE50" s="130" t="b">
        <v>1</v>
      </c>
      <c r="AF50" s="130" t="b">
        <v>1</v>
      </c>
      <c r="AG50" s="130" t="b">
        <v>1</v>
      </c>
    </row>
    <row r="51" spans="1:33">
      <c r="B51" s="292" t="s">
        <v>329</v>
      </c>
      <c r="C51" s="293" t="s">
        <v>330</v>
      </c>
      <c r="D51" s="237">
        <f t="shared" si="20"/>
        <v>211.46578499999998</v>
      </c>
      <c r="E51" s="238">
        <f t="shared" si="22"/>
        <v>70.988219999999998</v>
      </c>
      <c r="F51" s="275">
        <v>34.466369999999998</v>
      </c>
      <c r="G51" s="274">
        <v>0</v>
      </c>
      <c r="H51" s="276">
        <v>36.521850000000001</v>
      </c>
      <c r="I51" s="237">
        <f t="shared" si="14"/>
        <v>101.558654</v>
      </c>
      <c r="J51" s="273">
        <v>31.902014000000001</v>
      </c>
      <c r="K51" s="274">
        <v>48.987450000000003</v>
      </c>
      <c r="L51" s="274">
        <v>20.66919</v>
      </c>
      <c r="M51" s="275">
        <v>1.4106000000000001</v>
      </c>
      <c r="N51" s="237">
        <f t="shared" si="1"/>
        <v>26.867190000000001</v>
      </c>
      <c r="O51" s="282">
        <v>26.867190000000001</v>
      </c>
      <c r="P51" s="276">
        <v>0</v>
      </c>
      <c r="Q51" s="277">
        <v>10.641121</v>
      </c>
      <c r="R51" s="130"/>
      <c r="T51" s="130" t="b">
        <v>1</v>
      </c>
      <c r="U51" s="130" t="b">
        <v>1</v>
      </c>
      <c r="V51" s="130" t="b">
        <v>1</v>
      </c>
      <c r="W51" s="130" t="b">
        <v>1</v>
      </c>
      <c r="X51" s="130" t="b">
        <v>1</v>
      </c>
      <c r="Y51" s="130" t="b">
        <v>1</v>
      </c>
      <c r="Z51" s="130" t="b">
        <v>1</v>
      </c>
      <c r="AA51" s="130" t="b">
        <v>1</v>
      </c>
      <c r="AB51" s="130" t="b">
        <v>1</v>
      </c>
      <c r="AC51" s="130" t="b">
        <v>1</v>
      </c>
      <c r="AD51" s="130" t="b">
        <v>1</v>
      </c>
      <c r="AE51" s="130" t="b">
        <v>1</v>
      </c>
      <c r="AF51" s="130" t="b">
        <v>1</v>
      </c>
      <c r="AG51" s="130" t="b">
        <v>1</v>
      </c>
    </row>
    <row r="52" spans="1:33">
      <c r="B52" s="294" t="s">
        <v>331</v>
      </c>
      <c r="C52" s="295" t="s">
        <v>332</v>
      </c>
      <c r="D52" s="1281">
        <f t="shared" si="20"/>
        <v>3.6902110000000001</v>
      </c>
      <c r="E52" s="238">
        <f t="shared" si="22"/>
        <v>1.2804500000000001</v>
      </c>
      <c r="F52" s="275">
        <v>0.60904999999999998</v>
      </c>
      <c r="G52" s="274">
        <v>0</v>
      </c>
      <c r="H52" s="276">
        <v>0.6714</v>
      </c>
      <c r="I52" s="237">
        <f t="shared" si="14"/>
        <v>1.7959540000000001</v>
      </c>
      <c r="J52" s="273">
        <v>0.56789400000000001</v>
      </c>
      <c r="K52" s="274">
        <v>0.86370999999999998</v>
      </c>
      <c r="L52" s="274">
        <v>0.36435000000000001</v>
      </c>
      <c r="M52" s="275">
        <v>0</v>
      </c>
      <c r="N52" s="237">
        <f t="shared" si="1"/>
        <v>0.47554999999999997</v>
      </c>
      <c r="O52" s="282">
        <v>0.47554999999999997</v>
      </c>
      <c r="P52" s="276">
        <v>0</v>
      </c>
      <c r="Q52" s="277">
        <v>0.13825699999999999</v>
      </c>
      <c r="R52" s="130"/>
      <c r="T52" s="130" t="b">
        <v>1</v>
      </c>
      <c r="U52" s="130" t="b">
        <v>1</v>
      </c>
      <c r="V52" s="130" t="b">
        <v>1</v>
      </c>
      <c r="W52" s="130" t="b">
        <v>1</v>
      </c>
      <c r="X52" s="130" t="b">
        <v>1</v>
      </c>
      <c r="Y52" s="130" t="b">
        <v>1</v>
      </c>
      <c r="Z52" s="130" t="b">
        <v>1</v>
      </c>
      <c r="AA52" s="130" t="b">
        <v>1</v>
      </c>
      <c r="AB52" s="130" t="b">
        <v>1</v>
      </c>
      <c r="AC52" s="130" t="b">
        <v>1</v>
      </c>
      <c r="AD52" s="130" t="b">
        <v>1</v>
      </c>
      <c r="AE52" s="130" t="b">
        <v>1</v>
      </c>
      <c r="AF52" s="130" t="b">
        <v>1</v>
      </c>
      <c r="AG52" s="130" t="b">
        <v>1</v>
      </c>
    </row>
    <row r="53" spans="1:33">
      <c r="B53" s="292" t="s">
        <v>333</v>
      </c>
      <c r="C53" s="293" t="s">
        <v>334</v>
      </c>
      <c r="D53" s="237">
        <f t="shared" si="20"/>
        <v>0</v>
      </c>
      <c r="E53" s="238">
        <f t="shared" si="22"/>
        <v>0</v>
      </c>
      <c r="F53" s="275">
        <v>0</v>
      </c>
      <c r="G53" s="274">
        <v>0</v>
      </c>
      <c r="H53" s="276">
        <v>0</v>
      </c>
      <c r="I53" s="237">
        <f t="shared" si="14"/>
        <v>0</v>
      </c>
      <c r="J53" s="273">
        <v>0</v>
      </c>
      <c r="K53" s="274">
        <v>0</v>
      </c>
      <c r="L53" s="274">
        <v>0</v>
      </c>
      <c r="M53" s="275">
        <v>0</v>
      </c>
      <c r="N53" s="237">
        <f t="shared" si="1"/>
        <v>0</v>
      </c>
      <c r="O53" s="282">
        <v>0</v>
      </c>
      <c r="P53" s="276">
        <v>0</v>
      </c>
      <c r="Q53" s="277">
        <v>0</v>
      </c>
      <c r="R53" s="130"/>
      <c r="T53" s="130" t="b">
        <v>1</v>
      </c>
      <c r="U53" s="130" t="b">
        <v>1</v>
      </c>
      <c r="V53" s="130" t="b">
        <v>1</v>
      </c>
      <c r="W53" s="130" t="b">
        <v>1</v>
      </c>
      <c r="X53" s="130" t="b">
        <v>1</v>
      </c>
      <c r="Y53" s="130" t="b">
        <v>1</v>
      </c>
      <c r="Z53" s="130" t="b">
        <v>1</v>
      </c>
      <c r="AA53" s="130" t="b">
        <v>1</v>
      </c>
      <c r="AB53" s="130" t="b">
        <v>1</v>
      </c>
      <c r="AC53" s="130" t="b">
        <v>1</v>
      </c>
      <c r="AD53" s="130" t="b">
        <v>1</v>
      </c>
      <c r="AE53" s="130" t="b">
        <v>1</v>
      </c>
      <c r="AF53" s="130" t="b">
        <v>1</v>
      </c>
      <c r="AG53" s="130" t="b">
        <v>1</v>
      </c>
    </row>
    <row r="54" spans="1:33" ht="15" thickBot="1">
      <c r="B54" s="292" t="s">
        <v>335</v>
      </c>
      <c r="C54" s="284" t="s">
        <v>336</v>
      </c>
      <c r="D54" s="237">
        <f t="shared" si="20"/>
        <v>0</v>
      </c>
      <c r="E54" s="238">
        <f t="shared" si="22"/>
        <v>0</v>
      </c>
      <c r="F54" s="275">
        <v>0</v>
      </c>
      <c r="G54" s="296">
        <v>0</v>
      </c>
      <c r="H54" s="297">
        <v>0</v>
      </c>
      <c r="I54" s="237">
        <f t="shared" si="14"/>
        <v>0</v>
      </c>
      <c r="J54" s="273">
        <v>0</v>
      </c>
      <c r="K54" s="274">
        <v>0</v>
      </c>
      <c r="L54" s="274">
        <v>0</v>
      </c>
      <c r="M54" s="275">
        <v>0</v>
      </c>
      <c r="N54" s="237">
        <f t="shared" si="1"/>
        <v>0</v>
      </c>
      <c r="O54" s="282">
        <v>0</v>
      </c>
      <c r="P54" s="276">
        <v>0</v>
      </c>
      <c r="Q54" s="277">
        <v>0</v>
      </c>
      <c r="R54" s="130"/>
      <c r="T54" s="130" t="b">
        <v>1</v>
      </c>
      <c r="U54" s="130" t="b">
        <v>1</v>
      </c>
      <c r="V54" s="130" t="b">
        <v>1</v>
      </c>
      <c r="W54" s="130" t="b">
        <v>1</v>
      </c>
      <c r="X54" s="130" t="b">
        <v>1</v>
      </c>
      <c r="Y54" s="130" t="b">
        <v>1</v>
      </c>
      <c r="Z54" s="130" t="b">
        <v>1</v>
      </c>
      <c r="AA54" s="130" t="b">
        <v>1</v>
      </c>
      <c r="AB54" s="130" t="b">
        <v>1</v>
      </c>
      <c r="AC54" s="130" t="b">
        <v>1</v>
      </c>
      <c r="AD54" s="130" t="b">
        <v>1</v>
      </c>
      <c r="AE54" s="130" t="b">
        <v>1</v>
      </c>
      <c r="AF54" s="130" t="b">
        <v>1</v>
      </c>
      <c r="AG54" s="130" t="b">
        <v>1</v>
      </c>
    </row>
    <row r="55" spans="1:33">
      <c r="B55" s="271" t="s">
        <v>337</v>
      </c>
      <c r="C55" s="272" t="s">
        <v>338</v>
      </c>
      <c r="D55" s="165">
        <f t="shared" si="20"/>
        <v>49.266900163194997</v>
      </c>
      <c r="E55" s="166">
        <f t="shared" si="22"/>
        <v>25.017783076169998</v>
      </c>
      <c r="F55" s="167">
        <f>SUM(F56:F60)</f>
        <v>23.952999999999999</v>
      </c>
      <c r="G55" s="168">
        <f>SUM(G56:G60)</f>
        <v>0</v>
      </c>
      <c r="H55" s="169">
        <f>SUM(H56:H60)</f>
        <v>1.0647830761699999</v>
      </c>
      <c r="I55" s="165">
        <f t="shared" ref="I55:I118" si="28">SUM(J55:L55)</f>
        <v>24.249117087024999</v>
      </c>
      <c r="J55" s="167">
        <f t="shared" ref="J55:Q55" si="29">SUM(J56:J60)</f>
        <v>0.75157694744000003</v>
      </c>
      <c r="K55" s="168">
        <f t="shared" si="29"/>
        <v>23.38617701395</v>
      </c>
      <c r="L55" s="168">
        <f t="shared" si="29"/>
        <v>0.111363125635</v>
      </c>
      <c r="M55" s="170">
        <f t="shared" si="29"/>
        <v>0</v>
      </c>
      <c r="N55" s="165">
        <f t="shared" si="1"/>
        <v>0</v>
      </c>
      <c r="O55" s="171">
        <f>SUM(O56:O60)</f>
        <v>0</v>
      </c>
      <c r="P55" s="169">
        <f t="shared" si="29"/>
        <v>0</v>
      </c>
      <c r="Q55" s="165">
        <f t="shared" si="29"/>
        <v>0</v>
      </c>
      <c r="R55" s="130"/>
      <c r="T55" s="130" t="b">
        <v>1</v>
      </c>
      <c r="U55" s="130" t="b">
        <v>1</v>
      </c>
      <c r="V55" s="130" t="b">
        <v>1</v>
      </c>
      <c r="W55" s="130" t="b">
        <v>1</v>
      </c>
      <c r="X55" s="130" t="b">
        <v>1</v>
      </c>
      <c r="Y55" s="130" t="b">
        <v>1</v>
      </c>
      <c r="Z55" s="130" t="b">
        <v>1</v>
      </c>
      <c r="AA55" s="130" t="b">
        <v>1</v>
      </c>
      <c r="AB55" s="130" t="b">
        <v>1</v>
      </c>
      <c r="AC55" s="130" t="b">
        <v>1</v>
      </c>
      <c r="AD55" s="130" t="b">
        <v>1</v>
      </c>
      <c r="AE55" s="130" t="b">
        <v>1</v>
      </c>
      <c r="AF55" s="130" t="b">
        <v>1</v>
      </c>
      <c r="AG55" s="130" t="b">
        <v>1</v>
      </c>
    </row>
    <row r="56" spans="1:33">
      <c r="B56" s="292" t="s">
        <v>339</v>
      </c>
      <c r="C56" s="293" t="s">
        <v>340</v>
      </c>
      <c r="D56" s="185">
        <f t="shared" si="20"/>
        <v>23.952999999999999</v>
      </c>
      <c r="E56" s="238">
        <f t="shared" si="22"/>
        <v>23.952999999999999</v>
      </c>
      <c r="F56" s="281">
        <v>23.952999999999999</v>
      </c>
      <c r="G56" s="240">
        <v>0</v>
      </c>
      <c r="H56" s="241">
        <v>0</v>
      </c>
      <c r="I56" s="237">
        <f t="shared" si="28"/>
        <v>0</v>
      </c>
      <c r="J56" s="239">
        <v>0</v>
      </c>
      <c r="K56" s="240">
        <v>0</v>
      </c>
      <c r="L56" s="240">
        <v>0</v>
      </c>
      <c r="M56" s="242">
        <v>0</v>
      </c>
      <c r="N56" s="237">
        <f t="shared" si="1"/>
        <v>0</v>
      </c>
      <c r="O56" s="243">
        <v>0</v>
      </c>
      <c r="P56" s="280">
        <v>0</v>
      </c>
      <c r="Q56" s="298">
        <v>0</v>
      </c>
      <c r="R56" s="130"/>
      <c r="T56" s="130" t="b">
        <v>1</v>
      </c>
      <c r="U56" s="130" t="b">
        <v>1</v>
      </c>
      <c r="V56" s="130" t="b">
        <v>1</v>
      </c>
      <c r="W56" s="130" t="b">
        <v>1</v>
      </c>
      <c r="X56" s="130" t="b">
        <v>1</v>
      </c>
      <c r="Y56" s="130" t="b">
        <v>1</v>
      </c>
      <c r="Z56" s="130" t="b">
        <v>1</v>
      </c>
      <c r="AA56" s="130" t="b">
        <v>1</v>
      </c>
      <c r="AB56" s="130" t="b">
        <v>1</v>
      </c>
      <c r="AC56" s="130" t="b">
        <v>1</v>
      </c>
      <c r="AD56" s="130" t="b">
        <v>1</v>
      </c>
      <c r="AE56" s="130" t="b">
        <v>1</v>
      </c>
      <c r="AF56" s="130" t="b">
        <v>1</v>
      </c>
      <c r="AG56" s="130" t="b">
        <v>1</v>
      </c>
    </row>
    <row r="57" spans="1:33">
      <c r="B57" s="292" t="s">
        <v>341</v>
      </c>
      <c r="C57" s="293" t="s">
        <v>342</v>
      </c>
      <c r="D57" s="185">
        <f t="shared" si="20"/>
        <v>22.05</v>
      </c>
      <c r="E57" s="238">
        <f t="shared" si="22"/>
        <v>0</v>
      </c>
      <c r="F57" s="281">
        <v>0</v>
      </c>
      <c r="G57" s="279">
        <v>0</v>
      </c>
      <c r="H57" s="280">
        <v>0</v>
      </c>
      <c r="I57" s="237">
        <f t="shared" si="28"/>
        <v>22.05</v>
      </c>
      <c r="J57" s="281">
        <v>0</v>
      </c>
      <c r="K57" s="279">
        <v>22.05</v>
      </c>
      <c r="L57" s="279">
        <v>0</v>
      </c>
      <c r="M57" s="283">
        <v>0</v>
      </c>
      <c r="N57" s="237">
        <f t="shared" si="1"/>
        <v>0</v>
      </c>
      <c r="O57" s="299">
        <v>0</v>
      </c>
      <c r="P57" s="280">
        <v>0</v>
      </c>
      <c r="Q57" s="298">
        <v>0</v>
      </c>
      <c r="R57" s="130"/>
      <c r="T57" s="130" t="b">
        <v>1</v>
      </c>
      <c r="U57" s="130" t="b">
        <v>1</v>
      </c>
      <c r="V57" s="130" t="b">
        <v>1</v>
      </c>
      <c r="W57" s="130" t="b">
        <v>1</v>
      </c>
      <c r="X57" s="130" t="b">
        <v>1</v>
      </c>
      <c r="Y57" s="130" t="b">
        <v>1</v>
      </c>
      <c r="Z57" s="130" t="b">
        <v>1</v>
      </c>
      <c r="AA57" s="130" t="b">
        <v>1</v>
      </c>
      <c r="AB57" s="130" t="b">
        <v>1</v>
      </c>
      <c r="AC57" s="130" t="b">
        <v>1</v>
      </c>
      <c r="AD57" s="130" t="b">
        <v>1</v>
      </c>
      <c r="AE57" s="130" t="b">
        <v>1</v>
      </c>
      <c r="AF57" s="130" t="b">
        <v>1</v>
      </c>
      <c r="AG57" s="130" t="b">
        <v>1</v>
      </c>
    </row>
    <row r="58" spans="1:33">
      <c r="B58" s="292" t="s">
        <v>343</v>
      </c>
      <c r="C58" s="293" t="s">
        <v>344</v>
      </c>
      <c r="D58" s="185">
        <f t="shared" si="20"/>
        <v>0</v>
      </c>
      <c r="E58" s="238">
        <f t="shared" si="22"/>
        <v>0</v>
      </c>
      <c r="F58" s="281">
        <v>0</v>
      </c>
      <c r="G58" s="279">
        <v>0</v>
      </c>
      <c r="H58" s="280">
        <v>0</v>
      </c>
      <c r="I58" s="237">
        <f t="shared" si="28"/>
        <v>0</v>
      </c>
      <c r="J58" s="281">
        <v>0</v>
      </c>
      <c r="K58" s="279">
        <v>0</v>
      </c>
      <c r="L58" s="279">
        <v>0</v>
      </c>
      <c r="M58" s="283">
        <v>0</v>
      </c>
      <c r="N58" s="237">
        <f t="shared" si="1"/>
        <v>0</v>
      </c>
      <c r="O58" s="299">
        <v>0</v>
      </c>
      <c r="P58" s="280">
        <v>0</v>
      </c>
      <c r="Q58" s="298">
        <v>0</v>
      </c>
      <c r="R58" s="130"/>
      <c r="T58" s="130" t="b">
        <v>1</v>
      </c>
      <c r="U58" s="130" t="b">
        <v>1</v>
      </c>
      <c r="V58" s="130" t="b">
        <v>1</v>
      </c>
      <c r="W58" s="130" t="b">
        <v>1</v>
      </c>
      <c r="X58" s="130" t="b">
        <v>1</v>
      </c>
      <c r="Y58" s="130" t="b">
        <v>1</v>
      </c>
      <c r="Z58" s="130" t="b">
        <v>1</v>
      </c>
      <c r="AA58" s="130" t="b">
        <v>1</v>
      </c>
      <c r="AB58" s="130" t="b">
        <v>1</v>
      </c>
      <c r="AC58" s="130" t="b">
        <v>1</v>
      </c>
      <c r="AD58" s="130" t="b">
        <v>1</v>
      </c>
      <c r="AE58" s="130" t="b">
        <v>1</v>
      </c>
      <c r="AF58" s="130" t="b">
        <v>1</v>
      </c>
      <c r="AG58" s="130" t="b">
        <v>1</v>
      </c>
    </row>
    <row r="59" spans="1:33" s="130" customFormat="1">
      <c r="A59" s="131"/>
      <c r="B59" s="294" t="s">
        <v>345</v>
      </c>
      <c r="C59" s="295" t="s">
        <v>346</v>
      </c>
      <c r="D59" s="194">
        <f t="shared" si="20"/>
        <v>0</v>
      </c>
      <c r="E59" s="300">
        <f t="shared" si="22"/>
        <v>0</v>
      </c>
      <c r="F59" s="301">
        <v>0</v>
      </c>
      <c r="G59" s="302">
        <v>0</v>
      </c>
      <c r="H59" s="303">
        <v>0</v>
      </c>
      <c r="I59" s="304">
        <f t="shared" si="28"/>
        <v>0</v>
      </c>
      <c r="J59" s="281">
        <v>0</v>
      </c>
      <c r="K59" s="302">
        <v>0</v>
      </c>
      <c r="L59" s="302">
        <v>0</v>
      </c>
      <c r="M59" s="305">
        <v>0</v>
      </c>
      <c r="N59" s="304">
        <f t="shared" si="1"/>
        <v>0</v>
      </c>
      <c r="O59" s="299">
        <v>0</v>
      </c>
      <c r="P59" s="280">
        <v>0</v>
      </c>
      <c r="Q59" s="306">
        <v>0</v>
      </c>
      <c r="S59" s="131"/>
      <c r="T59" s="130" t="b">
        <v>1</v>
      </c>
      <c r="U59" s="130" t="b">
        <v>1</v>
      </c>
      <c r="V59" s="130" t="b">
        <v>1</v>
      </c>
      <c r="W59" s="130" t="b">
        <v>1</v>
      </c>
      <c r="X59" s="130" t="b">
        <v>1</v>
      </c>
      <c r="Y59" s="130" t="b">
        <v>1</v>
      </c>
      <c r="Z59" s="130" t="b">
        <v>1</v>
      </c>
      <c r="AA59" s="130" t="b">
        <v>1</v>
      </c>
      <c r="AB59" s="130" t="b">
        <v>1</v>
      </c>
      <c r="AC59" s="130" t="b">
        <v>1</v>
      </c>
      <c r="AD59" s="130" t="b">
        <v>1</v>
      </c>
      <c r="AE59" s="130" t="b">
        <v>1</v>
      </c>
      <c r="AF59" s="130" t="b">
        <v>1</v>
      </c>
      <c r="AG59" s="130" t="b">
        <v>1</v>
      </c>
    </row>
    <row r="60" spans="1:33" s="130" customFormat="1" ht="15" thickBot="1">
      <c r="A60" s="131"/>
      <c r="B60" s="307" t="s">
        <v>347</v>
      </c>
      <c r="C60" s="308" t="s">
        <v>348</v>
      </c>
      <c r="D60" s="309">
        <f t="shared" si="20"/>
        <v>3.2639001631949998</v>
      </c>
      <c r="E60" s="310">
        <f t="shared" si="22"/>
        <v>1.0647830761699999</v>
      </c>
      <c r="F60" s="311">
        <v>0</v>
      </c>
      <c r="G60" s="312">
        <v>0</v>
      </c>
      <c r="H60" s="313">
        <v>1.0647830761699999</v>
      </c>
      <c r="I60" s="314">
        <f t="shared" si="28"/>
        <v>2.1991170870249999</v>
      </c>
      <c r="J60" s="311">
        <v>0.75157694744000003</v>
      </c>
      <c r="K60" s="312">
        <v>1.33617701395</v>
      </c>
      <c r="L60" s="312">
        <v>0.111363125635</v>
      </c>
      <c r="M60" s="315">
        <v>0</v>
      </c>
      <c r="N60" s="314">
        <f t="shared" si="1"/>
        <v>0</v>
      </c>
      <c r="O60" s="316">
        <v>0</v>
      </c>
      <c r="P60" s="280">
        <v>0</v>
      </c>
      <c r="Q60" s="317">
        <v>0</v>
      </c>
      <c r="S60" s="131"/>
      <c r="T60" s="130" t="b">
        <v>1</v>
      </c>
      <c r="U60" s="130" t="b">
        <v>1</v>
      </c>
      <c r="V60" s="130" t="b">
        <v>1</v>
      </c>
      <c r="W60" s="130" t="b">
        <v>1</v>
      </c>
      <c r="X60" s="130" t="b">
        <v>1</v>
      </c>
      <c r="Y60" s="130" t="b">
        <v>1</v>
      </c>
      <c r="Z60" s="130" t="b">
        <v>1</v>
      </c>
      <c r="AA60" s="130" t="b">
        <v>1</v>
      </c>
      <c r="AB60" s="130" t="b">
        <v>1</v>
      </c>
      <c r="AC60" s="130" t="b">
        <v>1</v>
      </c>
      <c r="AD60" s="130" t="b">
        <v>1</v>
      </c>
      <c r="AE60" s="130" t="b">
        <v>1</v>
      </c>
      <c r="AF60" s="130" t="b">
        <v>1</v>
      </c>
      <c r="AG60" s="130" t="b">
        <v>1</v>
      </c>
    </row>
    <row r="61" spans="1:33">
      <c r="B61" s="271" t="s">
        <v>349</v>
      </c>
      <c r="C61" s="272" t="s">
        <v>350</v>
      </c>
      <c r="D61" s="165">
        <f t="shared" si="20"/>
        <v>0</v>
      </c>
      <c r="E61" s="166">
        <f t="shared" si="22"/>
        <v>0</v>
      </c>
      <c r="F61" s="167">
        <f>F62+F63</f>
        <v>0</v>
      </c>
      <c r="G61" s="168">
        <f>G62+G63</f>
        <v>0</v>
      </c>
      <c r="H61" s="169">
        <f>H62+H63</f>
        <v>0</v>
      </c>
      <c r="I61" s="165">
        <f t="shared" si="28"/>
        <v>0</v>
      </c>
      <c r="J61" s="167">
        <f t="shared" ref="J61:Q61" si="30">J62+J63</f>
        <v>0</v>
      </c>
      <c r="K61" s="168">
        <f t="shared" si="30"/>
        <v>0</v>
      </c>
      <c r="L61" s="168">
        <f t="shared" si="30"/>
        <v>0</v>
      </c>
      <c r="M61" s="170">
        <f t="shared" si="30"/>
        <v>0</v>
      </c>
      <c r="N61" s="165">
        <f t="shared" si="1"/>
        <v>0</v>
      </c>
      <c r="O61" s="171">
        <f>O62+O63</f>
        <v>0</v>
      </c>
      <c r="P61" s="169">
        <f t="shared" si="30"/>
        <v>0</v>
      </c>
      <c r="Q61" s="165">
        <f t="shared" si="30"/>
        <v>0</v>
      </c>
      <c r="R61" s="130"/>
      <c r="T61" s="130" t="b">
        <v>1</v>
      </c>
      <c r="U61" s="130" t="b">
        <v>1</v>
      </c>
      <c r="V61" s="130" t="b">
        <v>1</v>
      </c>
      <c r="W61" s="130" t="b">
        <v>1</v>
      </c>
      <c r="X61" s="130" t="b">
        <v>1</v>
      </c>
      <c r="Y61" s="130" t="b">
        <v>1</v>
      </c>
      <c r="Z61" s="130" t="b">
        <v>1</v>
      </c>
      <c r="AA61" s="130" t="b">
        <v>1</v>
      </c>
      <c r="AB61" s="130" t="b">
        <v>1</v>
      </c>
      <c r="AC61" s="130" t="b">
        <v>1</v>
      </c>
      <c r="AD61" s="130" t="b">
        <v>1</v>
      </c>
      <c r="AE61" s="130" t="b">
        <v>1</v>
      </c>
      <c r="AF61" s="130" t="b">
        <v>1</v>
      </c>
      <c r="AG61" s="130" t="b">
        <v>1</v>
      </c>
    </row>
    <row r="62" spans="1:33">
      <c r="B62" s="292" t="s">
        <v>351</v>
      </c>
      <c r="C62" s="293" t="s">
        <v>352</v>
      </c>
      <c r="D62" s="185">
        <f t="shared" si="20"/>
        <v>0</v>
      </c>
      <c r="E62" s="186">
        <f t="shared" si="22"/>
        <v>0</v>
      </c>
      <c r="F62" s="318">
        <v>0</v>
      </c>
      <c r="G62" s="319">
        <v>0</v>
      </c>
      <c r="H62" s="320">
        <v>0</v>
      </c>
      <c r="I62" s="185">
        <f t="shared" si="28"/>
        <v>0</v>
      </c>
      <c r="J62" s="318">
        <v>0</v>
      </c>
      <c r="K62" s="319">
        <v>0</v>
      </c>
      <c r="L62" s="319">
        <v>0</v>
      </c>
      <c r="M62" s="321">
        <v>0</v>
      </c>
      <c r="N62" s="185">
        <f t="shared" si="1"/>
        <v>0</v>
      </c>
      <c r="O62" s="322">
        <v>0</v>
      </c>
      <c r="P62" s="320">
        <v>0</v>
      </c>
      <c r="Q62" s="323">
        <v>0</v>
      </c>
      <c r="R62" s="130"/>
      <c r="T62" s="130" t="b">
        <v>1</v>
      </c>
      <c r="U62" s="130" t="b">
        <v>1</v>
      </c>
      <c r="V62" s="130" t="b">
        <v>1</v>
      </c>
      <c r="W62" s="130" t="b">
        <v>1</v>
      </c>
      <c r="X62" s="130" t="b">
        <v>1</v>
      </c>
      <c r="Y62" s="130" t="b">
        <v>1</v>
      </c>
      <c r="Z62" s="130" t="b">
        <v>1</v>
      </c>
      <c r="AA62" s="130" t="b">
        <v>1</v>
      </c>
      <c r="AB62" s="130" t="b">
        <v>1</v>
      </c>
      <c r="AC62" s="130" t="b">
        <v>1</v>
      </c>
      <c r="AD62" s="130" t="b">
        <v>1</v>
      </c>
      <c r="AE62" s="130" t="b">
        <v>1</v>
      </c>
      <c r="AF62" s="130" t="b">
        <v>1</v>
      </c>
      <c r="AG62" s="130" t="b">
        <v>1</v>
      </c>
    </row>
    <row r="63" spans="1:33" ht="15" thickBot="1">
      <c r="B63" s="324" t="s">
        <v>353</v>
      </c>
      <c r="C63" s="284" t="s">
        <v>354</v>
      </c>
      <c r="D63" s="203">
        <f t="shared" si="20"/>
        <v>0</v>
      </c>
      <c r="E63" s="325">
        <f t="shared" si="22"/>
        <v>0</v>
      </c>
      <c r="F63" s="326">
        <v>0</v>
      </c>
      <c r="G63" s="327">
        <v>0</v>
      </c>
      <c r="H63" s="328">
        <v>0</v>
      </c>
      <c r="I63" s="203">
        <f t="shared" si="28"/>
        <v>0</v>
      </c>
      <c r="J63" s="326">
        <v>0</v>
      </c>
      <c r="K63" s="327">
        <v>0</v>
      </c>
      <c r="L63" s="327">
        <v>0</v>
      </c>
      <c r="M63" s="329">
        <v>0</v>
      </c>
      <c r="N63" s="203">
        <f t="shared" si="1"/>
        <v>0</v>
      </c>
      <c r="O63" s="330">
        <v>0</v>
      </c>
      <c r="P63" s="328">
        <v>0</v>
      </c>
      <c r="Q63" s="331">
        <v>0</v>
      </c>
      <c r="R63" s="130"/>
      <c r="T63" s="130" t="b">
        <v>1</v>
      </c>
      <c r="U63" s="130" t="b">
        <v>1</v>
      </c>
      <c r="V63" s="130" t="b">
        <v>1</v>
      </c>
      <c r="W63" s="130" t="b">
        <v>1</v>
      </c>
      <c r="X63" s="130" t="b">
        <v>1</v>
      </c>
      <c r="Y63" s="130" t="b">
        <v>1</v>
      </c>
      <c r="Z63" s="130" t="b">
        <v>1</v>
      </c>
      <c r="AA63" s="130" t="b">
        <v>1</v>
      </c>
      <c r="AB63" s="130" t="b">
        <v>1</v>
      </c>
      <c r="AC63" s="130" t="b">
        <v>1</v>
      </c>
      <c r="AD63" s="130" t="b">
        <v>1</v>
      </c>
      <c r="AE63" s="130" t="b">
        <v>1</v>
      </c>
      <c r="AF63" s="130" t="b">
        <v>1</v>
      </c>
      <c r="AG63" s="130" t="b">
        <v>1</v>
      </c>
    </row>
    <row r="64" spans="1:33">
      <c r="B64" s="271" t="s">
        <v>355</v>
      </c>
      <c r="C64" s="272" t="s">
        <v>356</v>
      </c>
      <c r="D64" s="165">
        <f t="shared" si="20"/>
        <v>0.20636000000000002</v>
      </c>
      <c r="E64" s="166">
        <f t="shared" si="22"/>
        <v>0.15200000000000002</v>
      </c>
      <c r="F64" s="167">
        <f>SUM(F65:F78)</f>
        <v>0.14000000000000001</v>
      </c>
      <c r="G64" s="168">
        <f>SUM(G65:G78)</f>
        <v>0</v>
      </c>
      <c r="H64" s="169">
        <f>SUM(H65:H78)</f>
        <v>1.2E-2</v>
      </c>
      <c r="I64" s="165">
        <f t="shared" si="28"/>
        <v>5.4359999999999999E-2</v>
      </c>
      <c r="J64" s="167">
        <f t="shared" ref="J64:Q64" si="31">SUM(J65:J78)</f>
        <v>0</v>
      </c>
      <c r="K64" s="168">
        <f t="shared" si="31"/>
        <v>5.4359999999999999E-2</v>
      </c>
      <c r="L64" s="168">
        <f t="shared" si="31"/>
        <v>0</v>
      </c>
      <c r="M64" s="170">
        <f t="shared" si="31"/>
        <v>0</v>
      </c>
      <c r="N64" s="165">
        <f t="shared" si="1"/>
        <v>0</v>
      </c>
      <c r="O64" s="171">
        <f>SUM(O65:O78)</f>
        <v>0</v>
      </c>
      <c r="P64" s="169">
        <f t="shared" si="31"/>
        <v>0</v>
      </c>
      <c r="Q64" s="165">
        <f t="shared" si="31"/>
        <v>0</v>
      </c>
      <c r="R64" s="130"/>
      <c r="T64" s="130" t="b">
        <v>1</v>
      </c>
      <c r="U64" s="130" t="b">
        <v>1</v>
      </c>
      <c r="V64" s="130" t="b">
        <v>1</v>
      </c>
      <c r="W64" s="130" t="b">
        <v>1</v>
      </c>
      <c r="X64" s="130" t="b">
        <v>1</v>
      </c>
      <c r="Y64" s="130" t="b">
        <v>1</v>
      </c>
      <c r="Z64" s="130" t="b">
        <v>1</v>
      </c>
      <c r="AA64" s="130" t="b">
        <v>1</v>
      </c>
      <c r="AB64" s="130" t="b">
        <v>1</v>
      </c>
      <c r="AC64" s="130" t="b">
        <v>1</v>
      </c>
      <c r="AD64" s="130" t="b">
        <v>1</v>
      </c>
      <c r="AE64" s="130" t="b">
        <v>1</v>
      </c>
      <c r="AF64" s="130" t="b">
        <v>1</v>
      </c>
      <c r="AG64" s="130" t="b">
        <v>1</v>
      </c>
    </row>
    <row r="65" spans="1:33">
      <c r="B65" s="292" t="s">
        <v>357</v>
      </c>
      <c r="C65" s="295" t="s">
        <v>358</v>
      </c>
      <c r="D65" s="185">
        <f t="shared" si="20"/>
        <v>0</v>
      </c>
      <c r="E65" s="186">
        <f t="shared" si="22"/>
        <v>0</v>
      </c>
      <c r="F65" s="318">
        <v>0</v>
      </c>
      <c r="G65" s="319">
        <v>0</v>
      </c>
      <c r="H65" s="320">
        <v>0</v>
      </c>
      <c r="I65" s="185">
        <f t="shared" si="28"/>
        <v>0</v>
      </c>
      <c r="J65" s="318">
        <v>0</v>
      </c>
      <c r="K65" s="319">
        <v>0</v>
      </c>
      <c r="L65" s="319">
        <v>0</v>
      </c>
      <c r="M65" s="321">
        <v>0</v>
      </c>
      <c r="N65" s="185">
        <f t="shared" si="1"/>
        <v>0</v>
      </c>
      <c r="O65" s="332">
        <v>0</v>
      </c>
      <c r="P65" s="320">
        <v>0</v>
      </c>
      <c r="Q65" s="323">
        <v>0</v>
      </c>
      <c r="R65" s="130"/>
      <c r="T65" s="130" t="b">
        <v>1</v>
      </c>
      <c r="U65" s="130" t="b">
        <v>1</v>
      </c>
      <c r="V65" s="130" t="b">
        <v>1</v>
      </c>
      <c r="W65" s="130" t="b">
        <v>1</v>
      </c>
      <c r="X65" s="130" t="b">
        <v>1</v>
      </c>
      <c r="Y65" s="130" t="b">
        <v>1</v>
      </c>
      <c r="Z65" s="130" t="b">
        <v>1</v>
      </c>
      <c r="AA65" s="130" t="b">
        <v>1</v>
      </c>
      <c r="AB65" s="130" t="b">
        <v>1</v>
      </c>
      <c r="AC65" s="130" t="b">
        <v>1</v>
      </c>
      <c r="AD65" s="130" t="b">
        <v>1</v>
      </c>
      <c r="AE65" s="130" t="b">
        <v>1</v>
      </c>
      <c r="AF65" s="130" t="b">
        <v>1</v>
      </c>
      <c r="AG65" s="130" t="b">
        <v>1</v>
      </c>
    </row>
    <row r="66" spans="1:33">
      <c r="B66" s="292" t="s">
        <v>359</v>
      </c>
      <c r="C66" s="295" t="s">
        <v>360</v>
      </c>
      <c r="D66" s="185">
        <f t="shared" si="20"/>
        <v>0</v>
      </c>
      <c r="E66" s="186">
        <f t="shared" si="22"/>
        <v>0</v>
      </c>
      <c r="F66" s="318">
        <v>0</v>
      </c>
      <c r="G66" s="319">
        <v>0</v>
      </c>
      <c r="H66" s="320">
        <v>0</v>
      </c>
      <c r="I66" s="185">
        <f t="shared" si="28"/>
        <v>0</v>
      </c>
      <c r="J66" s="318">
        <v>0</v>
      </c>
      <c r="K66" s="319">
        <v>0</v>
      </c>
      <c r="L66" s="319">
        <v>0</v>
      </c>
      <c r="M66" s="321">
        <v>0</v>
      </c>
      <c r="N66" s="185">
        <f t="shared" si="1"/>
        <v>0</v>
      </c>
      <c r="O66" s="332">
        <v>0</v>
      </c>
      <c r="P66" s="320">
        <v>0</v>
      </c>
      <c r="Q66" s="323">
        <v>0</v>
      </c>
      <c r="R66" s="130"/>
      <c r="T66" s="130" t="b">
        <v>1</v>
      </c>
      <c r="U66" s="130" t="b">
        <v>1</v>
      </c>
      <c r="V66" s="130" t="b">
        <v>1</v>
      </c>
      <c r="W66" s="130" t="b">
        <v>1</v>
      </c>
      <c r="X66" s="130" t="b">
        <v>1</v>
      </c>
      <c r="Y66" s="130" t="b">
        <v>1</v>
      </c>
      <c r="Z66" s="130" t="b">
        <v>1</v>
      </c>
      <c r="AA66" s="130" t="b">
        <v>1</v>
      </c>
      <c r="AB66" s="130" t="b">
        <v>1</v>
      </c>
      <c r="AC66" s="130" t="b">
        <v>1</v>
      </c>
      <c r="AD66" s="130" t="b">
        <v>1</v>
      </c>
      <c r="AE66" s="130" t="b">
        <v>1</v>
      </c>
      <c r="AF66" s="130" t="b">
        <v>1</v>
      </c>
      <c r="AG66" s="130" t="b">
        <v>1</v>
      </c>
    </row>
    <row r="67" spans="1:33">
      <c r="B67" s="292" t="s">
        <v>361</v>
      </c>
      <c r="C67" s="295" t="s">
        <v>362</v>
      </c>
      <c r="D67" s="185">
        <f t="shared" si="20"/>
        <v>0</v>
      </c>
      <c r="E67" s="186">
        <f t="shared" si="22"/>
        <v>0</v>
      </c>
      <c r="F67" s="318">
        <v>0</v>
      </c>
      <c r="G67" s="319">
        <v>0</v>
      </c>
      <c r="H67" s="320">
        <v>0</v>
      </c>
      <c r="I67" s="185">
        <f t="shared" si="28"/>
        <v>0</v>
      </c>
      <c r="J67" s="318">
        <v>0</v>
      </c>
      <c r="K67" s="319">
        <v>0</v>
      </c>
      <c r="L67" s="319">
        <v>0</v>
      </c>
      <c r="M67" s="321">
        <v>0</v>
      </c>
      <c r="N67" s="185">
        <f t="shared" si="1"/>
        <v>0</v>
      </c>
      <c r="O67" s="332">
        <v>0</v>
      </c>
      <c r="P67" s="320">
        <v>0</v>
      </c>
      <c r="Q67" s="323">
        <v>0</v>
      </c>
      <c r="R67" s="130"/>
      <c r="T67" s="130" t="b">
        <v>1</v>
      </c>
      <c r="U67" s="130" t="b">
        <v>1</v>
      </c>
      <c r="V67" s="130" t="b">
        <v>1</v>
      </c>
      <c r="W67" s="130" t="b">
        <v>1</v>
      </c>
      <c r="X67" s="130" t="b">
        <v>1</v>
      </c>
      <c r="Y67" s="130" t="b">
        <v>1</v>
      </c>
      <c r="Z67" s="130" t="b">
        <v>1</v>
      </c>
      <c r="AA67" s="130" t="b">
        <v>1</v>
      </c>
      <c r="AB67" s="130" t="b">
        <v>1</v>
      </c>
      <c r="AC67" s="130" t="b">
        <v>1</v>
      </c>
      <c r="AD67" s="130" t="b">
        <v>1</v>
      </c>
      <c r="AE67" s="130" t="b">
        <v>1</v>
      </c>
      <c r="AF67" s="130" t="b">
        <v>1</v>
      </c>
      <c r="AG67" s="130" t="b">
        <v>1</v>
      </c>
    </row>
    <row r="68" spans="1:33">
      <c r="B68" s="292" t="s">
        <v>363</v>
      </c>
      <c r="C68" s="293" t="s">
        <v>364</v>
      </c>
      <c r="D68" s="185">
        <f t="shared" si="20"/>
        <v>5.4359999999999999E-2</v>
      </c>
      <c r="E68" s="186">
        <f t="shared" si="22"/>
        <v>0</v>
      </c>
      <c r="F68" s="318">
        <v>0</v>
      </c>
      <c r="G68" s="319">
        <v>0</v>
      </c>
      <c r="H68" s="320">
        <v>0</v>
      </c>
      <c r="I68" s="185">
        <f t="shared" si="28"/>
        <v>5.4359999999999999E-2</v>
      </c>
      <c r="J68" s="318">
        <v>0</v>
      </c>
      <c r="K68" s="319">
        <v>5.4359999999999999E-2</v>
      </c>
      <c r="L68" s="319">
        <v>0</v>
      </c>
      <c r="M68" s="321">
        <v>0</v>
      </c>
      <c r="N68" s="185">
        <f t="shared" si="1"/>
        <v>0</v>
      </c>
      <c r="O68" s="332">
        <v>0</v>
      </c>
      <c r="P68" s="320">
        <v>0</v>
      </c>
      <c r="Q68" s="323">
        <v>0</v>
      </c>
      <c r="R68" s="130"/>
      <c r="T68" s="130" t="b">
        <v>1</v>
      </c>
      <c r="U68" s="130" t="b">
        <v>1</v>
      </c>
      <c r="V68" s="130" t="b">
        <v>1</v>
      </c>
      <c r="W68" s="130" t="b">
        <v>1</v>
      </c>
      <c r="X68" s="130" t="b">
        <v>1</v>
      </c>
      <c r="Y68" s="130" t="b">
        <v>1</v>
      </c>
      <c r="Z68" s="130" t="b">
        <v>1</v>
      </c>
      <c r="AA68" s="130" t="b">
        <v>1</v>
      </c>
      <c r="AB68" s="130" t="b">
        <v>1</v>
      </c>
      <c r="AC68" s="130" t="b">
        <v>1</v>
      </c>
      <c r="AD68" s="130" t="b">
        <v>1</v>
      </c>
      <c r="AE68" s="130" t="b">
        <v>1</v>
      </c>
      <c r="AF68" s="130" t="b">
        <v>1</v>
      </c>
      <c r="AG68" s="130" t="b">
        <v>1</v>
      </c>
    </row>
    <row r="69" spans="1:33">
      <c r="B69" s="292" t="s">
        <v>365</v>
      </c>
      <c r="C69" s="293" t="s">
        <v>366</v>
      </c>
      <c r="D69" s="185">
        <f t="shared" si="20"/>
        <v>0</v>
      </c>
      <c r="E69" s="186">
        <f t="shared" si="22"/>
        <v>0</v>
      </c>
      <c r="F69" s="318">
        <v>0</v>
      </c>
      <c r="G69" s="319">
        <v>0</v>
      </c>
      <c r="H69" s="320">
        <v>0</v>
      </c>
      <c r="I69" s="185">
        <f t="shared" si="28"/>
        <v>0</v>
      </c>
      <c r="J69" s="318">
        <v>0</v>
      </c>
      <c r="K69" s="319">
        <v>0</v>
      </c>
      <c r="L69" s="319">
        <v>0</v>
      </c>
      <c r="M69" s="321">
        <v>0</v>
      </c>
      <c r="N69" s="185">
        <f t="shared" si="1"/>
        <v>0</v>
      </c>
      <c r="O69" s="332">
        <v>0</v>
      </c>
      <c r="P69" s="320">
        <v>0</v>
      </c>
      <c r="Q69" s="323">
        <v>0</v>
      </c>
      <c r="R69" s="130"/>
      <c r="T69" s="130" t="b">
        <v>1</v>
      </c>
      <c r="U69" s="130" t="b">
        <v>1</v>
      </c>
      <c r="V69" s="130" t="b">
        <v>1</v>
      </c>
      <c r="W69" s="130" t="b">
        <v>1</v>
      </c>
      <c r="X69" s="130" t="b">
        <v>1</v>
      </c>
      <c r="Y69" s="130" t="b">
        <v>1</v>
      </c>
      <c r="Z69" s="130" t="b">
        <v>1</v>
      </c>
      <c r="AA69" s="130" t="b">
        <v>1</v>
      </c>
      <c r="AB69" s="130" t="b">
        <v>1</v>
      </c>
      <c r="AC69" s="130" t="b">
        <v>1</v>
      </c>
      <c r="AD69" s="130" t="b">
        <v>1</v>
      </c>
      <c r="AE69" s="130" t="b">
        <v>1</v>
      </c>
      <c r="AF69" s="130" t="b">
        <v>1</v>
      </c>
      <c r="AG69" s="130" t="b">
        <v>1</v>
      </c>
    </row>
    <row r="70" spans="1:33">
      <c r="B70" s="292" t="s">
        <v>367</v>
      </c>
      <c r="C70" s="293" t="s">
        <v>368</v>
      </c>
      <c r="D70" s="185">
        <f t="shared" si="20"/>
        <v>0</v>
      </c>
      <c r="E70" s="186">
        <f t="shared" si="22"/>
        <v>0</v>
      </c>
      <c r="F70" s="318">
        <v>0</v>
      </c>
      <c r="G70" s="319">
        <v>0</v>
      </c>
      <c r="H70" s="320">
        <v>0</v>
      </c>
      <c r="I70" s="185">
        <f t="shared" si="28"/>
        <v>0</v>
      </c>
      <c r="J70" s="318">
        <v>0</v>
      </c>
      <c r="K70" s="319">
        <v>0</v>
      </c>
      <c r="L70" s="319">
        <v>0</v>
      </c>
      <c r="M70" s="321">
        <v>0</v>
      </c>
      <c r="N70" s="185">
        <f t="shared" si="1"/>
        <v>0</v>
      </c>
      <c r="O70" s="332">
        <v>0</v>
      </c>
      <c r="P70" s="320">
        <v>0</v>
      </c>
      <c r="Q70" s="323">
        <v>0</v>
      </c>
      <c r="R70" s="130"/>
      <c r="T70" s="130" t="b">
        <v>1</v>
      </c>
      <c r="U70" s="130" t="b">
        <v>1</v>
      </c>
      <c r="V70" s="130" t="b">
        <v>1</v>
      </c>
      <c r="W70" s="130" t="b">
        <v>1</v>
      </c>
      <c r="X70" s="130" t="b">
        <v>1</v>
      </c>
      <c r="Y70" s="130" t="b">
        <v>1</v>
      </c>
      <c r="Z70" s="130" t="b">
        <v>1</v>
      </c>
      <c r="AA70" s="130" t="b">
        <v>1</v>
      </c>
      <c r="AB70" s="130" t="b">
        <v>1</v>
      </c>
      <c r="AC70" s="130" t="b">
        <v>1</v>
      </c>
      <c r="AD70" s="130" t="b">
        <v>1</v>
      </c>
      <c r="AE70" s="130" t="b">
        <v>1</v>
      </c>
      <c r="AF70" s="130" t="b">
        <v>1</v>
      </c>
      <c r="AG70" s="130" t="b">
        <v>1</v>
      </c>
    </row>
    <row r="71" spans="1:33">
      <c r="B71" s="292" t="s">
        <v>369</v>
      </c>
      <c r="C71" s="295" t="s">
        <v>370</v>
      </c>
      <c r="D71" s="185">
        <f t="shared" si="20"/>
        <v>0</v>
      </c>
      <c r="E71" s="186">
        <f t="shared" si="22"/>
        <v>0</v>
      </c>
      <c r="F71" s="318">
        <v>0</v>
      </c>
      <c r="G71" s="319">
        <v>0</v>
      </c>
      <c r="H71" s="320">
        <v>0</v>
      </c>
      <c r="I71" s="185">
        <f t="shared" si="28"/>
        <v>0</v>
      </c>
      <c r="J71" s="318">
        <v>0</v>
      </c>
      <c r="K71" s="319">
        <v>0</v>
      </c>
      <c r="L71" s="319">
        <v>0</v>
      </c>
      <c r="M71" s="321">
        <v>0</v>
      </c>
      <c r="N71" s="185">
        <f t="shared" si="1"/>
        <v>0</v>
      </c>
      <c r="O71" s="332">
        <v>0</v>
      </c>
      <c r="P71" s="320">
        <v>0</v>
      </c>
      <c r="Q71" s="323">
        <v>0</v>
      </c>
      <c r="R71" s="130"/>
      <c r="T71" s="130" t="b">
        <v>1</v>
      </c>
      <c r="U71" s="130" t="b">
        <v>1</v>
      </c>
      <c r="V71" s="130" t="b">
        <v>1</v>
      </c>
      <c r="W71" s="130" t="b">
        <v>1</v>
      </c>
      <c r="X71" s="130" t="b">
        <v>1</v>
      </c>
      <c r="Y71" s="130" t="b">
        <v>1</v>
      </c>
      <c r="Z71" s="130" t="b">
        <v>1</v>
      </c>
      <c r="AA71" s="130" t="b">
        <v>1</v>
      </c>
      <c r="AB71" s="130" t="b">
        <v>1</v>
      </c>
      <c r="AC71" s="130" t="b">
        <v>1</v>
      </c>
      <c r="AD71" s="130" t="b">
        <v>1</v>
      </c>
      <c r="AE71" s="130" t="b">
        <v>1</v>
      </c>
      <c r="AF71" s="130" t="b">
        <v>1</v>
      </c>
      <c r="AG71" s="130" t="b">
        <v>1</v>
      </c>
    </row>
    <row r="72" spans="1:33">
      <c r="B72" s="292" t="s">
        <v>371</v>
      </c>
      <c r="C72" s="293" t="s">
        <v>372</v>
      </c>
      <c r="D72" s="185">
        <f t="shared" si="20"/>
        <v>0</v>
      </c>
      <c r="E72" s="186">
        <f t="shared" si="22"/>
        <v>0</v>
      </c>
      <c r="F72" s="318">
        <v>0</v>
      </c>
      <c r="G72" s="319">
        <v>0</v>
      </c>
      <c r="H72" s="320">
        <v>0</v>
      </c>
      <c r="I72" s="185">
        <f t="shared" si="28"/>
        <v>0</v>
      </c>
      <c r="J72" s="318">
        <v>0</v>
      </c>
      <c r="K72" s="319">
        <v>0</v>
      </c>
      <c r="L72" s="319">
        <v>0</v>
      </c>
      <c r="M72" s="321">
        <v>0</v>
      </c>
      <c r="N72" s="185">
        <f t="shared" si="1"/>
        <v>0</v>
      </c>
      <c r="O72" s="332">
        <v>0</v>
      </c>
      <c r="P72" s="320">
        <v>0</v>
      </c>
      <c r="Q72" s="323">
        <v>0</v>
      </c>
      <c r="R72" s="130"/>
      <c r="T72" s="130" t="b">
        <v>1</v>
      </c>
      <c r="U72" s="130" t="b">
        <v>1</v>
      </c>
      <c r="V72" s="130" t="b">
        <v>1</v>
      </c>
      <c r="W72" s="130" t="b">
        <v>1</v>
      </c>
      <c r="X72" s="130" t="b">
        <v>1</v>
      </c>
      <c r="Y72" s="130" t="b">
        <v>1</v>
      </c>
      <c r="Z72" s="130" t="b">
        <v>1</v>
      </c>
      <c r="AA72" s="130" t="b">
        <v>1</v>
      </c>
      <c r="AB72" s="130" t="b">
        <v>1</v>
      </c>
      <c r="AC72" s="130" t="b">
        <v>1</v>
      </c>
      <c r="AD72" s="130" t="b">
        <v>1</v>
      </c>
      <c r="AE72" s="130" t="b">
        <v>1</v>
      </c>
      <c r="AF72" s="130" t="b">
        <v>1</v>
      </c>
      <c r="AG72" s="130" t="b">
        <v>1</v>
      </c>
    </row>
    <row r="73" spans="1:33">
      <c r="B73" s="292" t="s">
        <v>373</v>
      </c>
      <c r="C73" s="293" t="s">
        <v>374</v>
      </c>
      <c r="D73" s="185">
        <f t="shared" si="20"/>
        <v>0</v>
      </c>
      <c r="E73" s="186">
        <f t="shared" si="22"/>
        <v>0</v>
      </c>
      <c r="F73" s="318">
        <v>0</v>
      </c>
      <c r="G73" s="319">
        <v>0</v>
      </c>
      <c r="H73" s="320">
        <v>0</v>
      </c>
      <c r="I73" s="185">
        <f t="shared" si="28"/>
        <v>0</v>
      </c>
      <c r="J73" s="318">
        <v>0</v>
      </c>
      <c r="K73" s="319">
        <v>0</v>
      </c>
      <c r="L73" s="319">
        <v>0</v>
      </c>
      <c r="M73" s="321">
        <v>0</v>
      </c>
      <c r="N73" s="185">
        <f t="shared" si="1"/>
        <v>0</v>
      </c>
      <c r="O73" s="332">
        <v>0</v>
      </c>
      <c r="P73" s="320">
        <v>0</v>
      </c>
      <c r="Q73" s="323">
        <v>0</v>
      </c>
      <c r="R73" s="130"/>
      <c r="T73" s="130" t="b">
        <v>1</v>
      </c>
      <c r="U73" s="130" t="b">
        <v>1</v>
      </c>
      <c r="V73" s="130" t="b">
        <v>1</v>
      </c>
      <c r="W73" s="130" t="b">
        <v>1</v>
      </c>
      <c r="X73" s="130" t="b">
        <v>1</v>
      </c>
      <c r="Y73" s="130" t="b">
        <v>1</v>
      </c>
      <c r="Z73" s="130" t="b">
        <v>1</v>
      </c>
      <c r="AA73" s="130" t="b">
        <v>1</v>
      </c>
      <c r="AB73" s="130" t="b">
        <v>1</v>
      </c>
      <c r="AC73" s="130" t="b">
        <v>1</v>
      </c>
      <c r="AD73" s="130" t="b">
        <v>1</v>
      </c>
      <c r="AE73" s="130" t="b">
        <v>1</v>
      </c>
      <c r="AF73" s="130" t="b">
        <v>1</v>
      </c>
      <c r="AG73" s="130" t="b">
        <v>1</v>
      </c>
    </row>
    <row r="74" spans="1:33">
      <c r="B74" s="292" t="s">
        <v>375</v>
      </c>
      <c r="C74" s="295" t="s">
        <v>376</v>
      </c>
      <c r="D74" s="185">
        <f t="shared" si="20"/>
        <v>0</v>
      </c>
      <c r="E74" s="186">
        <f t="shared" si="22"/>
        <v>0</v>
      </c>
      <c r="F74" s="318">
        <v>0</v>
      </c>
      <c r="G74" s="319">
        <v>0</v>
      </c>
      <c r="H74" s="320">
        <v>0</v>
      </c>
      <c r="I74" s="185">
        <f t="shared" si="28"/>
        <v>0</v>
      </c>
      <c r="J74" s="318">
        <v>0</v>
      </c>
      <c r="K74" s="319">
        <v>0</v>
      </c>
      <c r="L74" s="319">
        <v>0</v>
      </c>
      <c r="M74" s="321">
        <v>0</v>
      </c>
      <c r="N74" s="185">
        <f t="shared" ref="N74:N137" si="32">O74+P74</f>
        <v>0</v>
      </c>
      <c r="O74" s="332">
        <v>0</v>
      </c>
      <c r="P74" s="320">
        <v>0</v>
      </c>
      <c r="Q74" s="323">
        <v>0</v>
      </c>
      <c r="R74" s="130"/>
      <c r="T74" s="130" t="b">
        <v>1</v>
      </c>
      <c r="U74" s="130" t="b">
        <v>1</v>
      </c>
      <c r="V74" s="130" t="b">
        <v>1</v>
      </c>
      <c r="W74" s="130" t="b">
        <v>1</v>
      </c>
      <c r="X74" s="130" t="b">
        <v>1</v>
      </c>
      <c r="Y74" s="130" t="b">
        <v>1</v>
      </c>
      <c r="Z74" s="130" t="b">
        <v>1</v>
      </c>
      <c r="AA74" s="130" t="b">
        <v>1</v>
      </c>
      <c r="AB74" s="130" t="b">
        <v>1</v>
      </c>
      <c r="AC74" s="130" t="b">
        <v>1</v>
      </c>
      <c r="AD74" s="130" t="b">
        <v>1</v>
      </c>
      <c r="AE74" s="130" t="b">
        <v>1</v>
      </c>
      <c r="AF74" s="130" t="b">
        <v>1</v>
      </c>
      <c r="AG74" s="130" t="b">
        <v>1</v>
      </c>
    </row>
    <row r="75" spans="1:33">
      <c r="B75" s="292" t="s">
        <v>377</v>
      </c>
      <c r="C75" s="293" t="s">
        <v>378</v>
      </c>
      <c r="D75" s="185">
        <f t="shared" si="20"/>
        <v>0.15200000000000002</v>
      </c>
      <c r="E75" s="186">
        <f t="shared" si="22"/>
        <v>0.15200000000000002</v>
      </c>
      <c r="F75" s="318">
        <v>0.14000000000000001</v>
      </c>
      <c r="G75" s="319">
        <v>0</v>
      </c>
      <c r="H75" s="320">
        <v>1.2E-2</v>
      </c>
      <c r="I75" s="185">
        <f t="shared" si="28"/>
        <v>0</v>
      </c>
      <c r="J75" s="318">
        <v>0</v>
      </c>
      <c r="K75" s="319">
        <v>0</v>
      </c>
      <c r="L75" s="319">
        <v>0</v>
      </c>
      <c r="M75" s="321">
        <v>0</v>
      </c>
      <c r="N75" s="185">
        <f t="shared" si="32"/>
        <v>0</v>
      </c>
      <c r="O75" s="332">
        <v>0</v>
      </c>
      <c r="P75" s="320">
        <v>0</v>
      </c>
      <c r="Q75" s="323">
        <v>0</v>
      </c>
      <c r="R75" s="130"/>
      <c r="T75" s="130" t="b">
        <v>1</v>
      </c>
      <c r="U75" s="130" t="b">
        <v>1</v>
      </c>
      <c r="V75" s="130" t="b">
        <v>1</v>
      </c>
      <c r="W75" s="130" t="b">
        <v>1</v>
      </c>
      <c r="X75" s="130" t="b">
        <v>1</v>
      </c>
      <c r="Y75" s="130" t="b">
        <v>1</v>
      </c>
      <c r="Z75" s="130" t="b">
        <v>1</v>
      </c>
      <c r="AA75" s="130" t="b">
        <v>1</v>
      </c>
      <c r="AB75" s="130" t="b">
        <v>1</v>
      </c>
      <c r="AC75" s="130" t="b">
        <v>1</v>
      </c>
      <c r="AD75" s="130" t="b">
        <v>1</v>
      </c>
      <c r="AE75" s="130" t="b">
        <v>1</v>
      </c>
      <c r="AF75" s="130" t="b">
        <v>1</v>
      </c>
      <c r="AG75" s="130" t="b">
        <v>1</v>
      </c>
    </row>
    <row r="76" spans="1:33">
      <c r="B76" s="292" t="s">
        <v>379</v>
      </c>
      <c r="C76" s="293" t="s">
        <v>380</v>
      </c>
      <c r="D76" s="185">
        <f t="shared" si="20"/>
        <v>0</v>
      </c>
      <c r="E76" s="186">
        <f t="shared" si="22"/>
        <v>0</v>
      </c>
      <c r="F76" s="318">
        <v>0</v>
      </c>
      <c r="G76" s="319">
        <v>0</v>
      </c>
      <c r="H76" s="320">
        <v>0</v>
      </c>
      <c r="I76" s="185">
        <f t="shared" si="28"/>
        <v>0</v>
      </c>
      <c r="J76" s="318">
        <v>0</v>
      </c>
      <c r="K76" s="319">
        <v>0</v>
      </c>
      <c r="L76" s="319">
        <v>0</v>
      </c>
      <c r="M76" s="321">
        <v>0</v>
      </c>
      <c r="N76" s="185">
        <f t="shared" si="32"/>
        <v>0</v>
      </c>
      <c r="O76" s="332">
        <v>0</v>
      </c>
      <c r="P76" s="320">
        <v>0</v>
      </c>
      <c r="Q76" s="323">
        <v>0</v>
      </c>
      <c r="R76" s="130"/>
      <c r="T76" s="130" t="b">
        <v>1</v>
      </c>
      <c r="U76" s="130" t="b">
        <v>1</v>
      </c>
      <c r="V76" s="130" t="b">
        <v>1</v>
      </c>
      <c r="W76" s="130" t="b">
        <v>1</v>
      </c>
      <c r="X76" s="130" t="b">
        <v>1</v>
      </c>
      <c r="Y76" s="130" t="b">
        <v>1</v>
      </c>
      <c r="Z76" s="130" t="b">
        <v>1</v>
      </c>
      <c r="AA76" s="130" t="b">
        <v>1</v>
      </c>
      <c r="AB76" s="130" t="b">
        <v>1</v>
      </c>
      <c r="AC76" s="130" t="b">
        <v>1</v>
      </c>
      <c r="AD76" s="130" t="b">
        <v>1</v>
      </c>
      <c r="AE76" s="130" t="b">
        <v>1</v>
      </c>
      <c r="AF76" s="130" t="b">
        <v>1</v>
      </c>
      <c r="AG76" s="130" t="b">
        <v>1</v>
      </c>
    </row>
    <row r="77" spans="1:33">
      <c r="B77" s="292" t="s">
        <v>381</v>
      </c>
      <c r="C77" s="293" t="s">
        <v>382</v>
      </c>
      <c r="D77" s="185">
        <f t="shared" si="20"/>
        <v>0</v>
      </c>
      <c r="E77" s="186">
        <f t="shared" si="22"/>
        <v>0</v>
      </c>
      <c r="F77" s="318">
        <v>0</v>
      </c>
      <c r="G77" s="319">
        <v>0</v>
      </c>
      <c r="H77" s="320">
        <v>0</v>
      </c>
      <c r="I77" s="185">
        <f t="shared" si="28"/>
        <v>0</v>
      </c>
      <c r="J77" s="318">
        <v>0</v>
      </c>
      <c r="K77" s="319">
        <v>0</v>
      </c>
      <c r="L77" s="319">
        <v>0</v>
      </c>
      <c r="M77" s="321">
        <v>0</v>
      </c>
      <c r="N77" s="185">
        <f t="shared" si="32"/>
        <v>0</v>
      </c>
      <c r="O77" s="332">
        <v>0</v>
      </c>
      <c r="P77" s="320">
        <v>0</v>
      </c>
      <c r="Q77" s="323">
        <v>0</v>
      </c>
      <c r="R77" s="130"/>
      <c r="T77" s="130" t="b">
        <v>1</v>
      </c>
      <c r="U77" s="130" t="b">
        <v>1</v>
      </c>
      <c r="V77" s="130" t="b">
        <v>1</v>
      </c>
      <c r="W77" s="130" t="b">
        <v>1</v>
      </c>
      <c r="X77" s="130" t="b">
        <v>1</v>
      </c>
      <c r="Y77" s="130" t="b">
        <v>1</v>
      </c>
      <c r="Z77" s="130" t="b">
        <v>1</v>
      </c>
      <c r="AA77" s="130" t="b">
        <v>1</v>
      </c>
      <c r="AB77" s="130" t="b">
        <v>1</v>
      </c>
      <c r="AC77" s="130" t="b">
        <v>1</v>
      </c>
      <c r="AD77" s="130" t="b">
        <v>1</v>
      </c>
      <c r="AE77" s="130" t="b">
        <v>1</v>
      </c>
      <c r="AF77" s="130" t="b">
        <v>1</v>
      </c>
      <c r="AG77" s="130" t="b">
        <v>1</v>
      </c>
    </row>
    <row r="78" spans="1:33" ht="15" thickBot="1">
      <c r="B78" s="333" t="s">
        <v>383</v>
      </c>
      <c r="C78" s="334" t="s">
        <v>384</v>
      </c>
      <c r="D78" s="335">
        <f t="shared" si="20"/>
        <v>0</v>
      </c>
      <c r="E78" s="336">
        <f t="shared" si="22"/>
        <v>0</v>
      </c>
      <c r="F78" s="337">
        <v>0</v>
      </c>
      <c r="G78" s="338">
        <v>0</v>
      </c>
      <c r="H78" s="339">
        <v>0</v>
      </c>
      <c r="I78" s="335">
        <f t="shared" si="28"/>
        <v>0</v>
      </c>
      <c r="J78" s="337">
        <v>0</v>
      </c>
      <c r="K78" s="338">
        <v>0</v>
      </c>
      <c r="L78" s="338">
        <v>0</v>
      </c>
      <c r="M78" s="340">
        <v>0</v>
      </c>
      <c r="N78" s="335">
        <f t="shared" si="32"/>
        <v>0</v>
      </c>
      <c r="O78" s="341">
        <v>0</v>
      </c>
      <c r="P78" s="339">
        <v>0</v>
      </c>
      <c r="Q78" s="342">
        <v>0</v>
      </c>
      <c r="R78" s="130"/>
      <c r="T78" s="130" t="b">
        <v>1</v>
      </c>
      <c r="U78" s="130" t="b">
        <v>1</v>
      </c>
      <c r="V78" s="130" t="b">
        <v>1</v>
      </c>
      <c r="W78" s="130" t="b">
        <v>1</v>
      </c>
      <c r="X78" s="130" t="b">
        <v>1</v>
      </c>
      <c r="Y78" s="130" t="b">
        <v>1</v>
      </c>
      <c r="Z78" s="130" t="b">
        <v>1</v>
      </c>
      <c r="AA78" s="130" t="b">
        <v>1</v>
      </c>
      <c r="AB78" s="130" t="b">
        <v>1</v>
      </c>
      <c r="AC78" s="130" t="b">
        <v>1</v>
      </c>
      <c r="AD78" s="130" t="b">
        <v>1</v>
      </c>
      <c r="AE78" s="130" t="b">
        <v>1</v>
      </c>
      <c r="AF78" s="130" t="b">
        <v>1</v>
      </c>
      <c r="AG78" s="130" t="b">
        <v>1</v>
      </c>
    </row>
    <row r="79" spans="1:33" ht="15" thickBot="1">
      <c r="B79" s="343" t="s">
        <v>385</v>
      </c>
      <c r="C79" s="344" t="s">
        <v>386</v>
      </c>
      <c r="D79" s="345">
        <f t="shared" si="20"/>
        <v>0</v>
      </c>
      <c r="E79" s="346">
        <f t="shared" si="22"/>
        <v>0</v>
      </c>
      <c r="F79" s="347">
        <v>0</v>
      </c>
      <c r="G79" s="348">
        <v>0</v>
      </c>
      <c r="H79" s="349">
        <v>0</v>
      </c>
      <c r="I79" s="345">
        <f t="shared" si="28"/>
        <v>0</v>
      </c>
      <c r="J79" s="347">
        <v>0</v>
      </c>
      <c r="K79" s="348">
        <v>0</v>
      </c>
      <c r="L79" s="348">
        <v>0</v>
      </c>
      <c r="M79" s="350">
        <v>0</v>
      </c>
      <c r="N79" s="345">
        <f t="shared" si="32"/>
        <v>0</v>
      </c>
      <c r="O79" s="351">
        <v>0</v>
      </c>
      <c r="P79" s="349">
        <v>0</v>
      </c>
      <c r="Q79" s="352">
        <v>0</v>
      </c>
      <c r="R79" s="130"/>
      <c r="T79" s="130" t="b">
        <v>1</v>
      </c>
      <c r="U79" s="130" t="b">
        <v>1</v>
      </c>
      <c r="V79" s="130" t="b">
        <v>1</v>
      </c>
      <c r="W79" s="130" t="b">
        <v>1</v>
      </c>
      <c r="X79" s="130" t="b">
        <v>1</v>
      </c>
      <c r="Y79" s="130" t="b">
        <v>1</v>
      </c>
      <c r="Z79" s="130" t="b">
        <v>1</v>
      </c>
      <c r="AA79" s="130" t="b">
        <v>1</v>
      </c>
      <c r="AB79" s="130" t="b">
        <v>1</v>
      </c>
      <c r="AC79" s="130" t="b">
        <v>1</v>
      </c>
      <c r="AD79" s="130" t="b">
        <v>1</v>
      </c>
      <c r="AE79" s="130" t="b">
        <v>1</v>
      </c>
      <c r="AF79" s="130" t="b">
        <v>1</v>
      </c>
      <c r="AG79" s="130" t="b">
        <v>1</v>
      </c>
    </row>
    <row r="80" spans="1:33">
      <c r="A80" s="353"/>
      <c r="B80" s="271" t="s">
        <v>387</v>
      </c>
      <c r="C80" s="233" t="s">
        <v>388</v>
      </c>
      <c r="D80" s="165">
        <f t="shared" si="20"/>
        <v>34.159418000000002</v>
      </c>
      <c r="E80" s="166">
        <f t="shared" si="22"/>
        <v>14.364320000000001</v>
      </c>
      <c r="F80" s="167">
        <f>SUM(F81:F87)</f>
        <v>1.035E-2</v>
      </c>
      <c r="G80" s="168">
        <f>SUM(G81:G87)</f>
        <v>0</v>
      </c>
      <c r="H80" s="169">
        <f>SUM(H81:H87)</f>
        <v>14.35397</v>
      </c>
      <c r="I80" s="165">
        <f t="shared" si="28"/>
        <v>19.727980000000002</v>
      </c>
      <c r="J80" s="167">
        <f t="shared" ref="J80:Q80" si="33">SUM(J81:J87)</f>
        <v>0.89477999999999991</v>
      </c>
      <c r="K80" s="168">
        <f t="shared" si="33"/>
        <v>16.134910000000001</v>
      </c>
      <c r="L80" s="168">
        <f t="shared" si="33"/>
        <v>2.6982900000000001</v>
      </c>
      <c r="M80" s="170">
        <f t="shared" si="33"/>
        <v>0</v>
      </c>
      <c r="N80" s="165">
        <f t="shared" si="32"/>
        <v>0</v>
      </c>
      <c r="O80" s="171">
        <f>SUM(O81:O87)</f>
        <v>0</v>
      </c>
      <c r="P80" s="169">
        <f t="shared" si="33"/>
        <v>0</v>
      </c>
      <c r="Q80" s="165">
        <f t="shared" si="33"/>
        <v>6.7117999999999997E-2</v>
      </c>
      <c r="R80" s="130"/>
      <c r="T80" s="130" t="b">
        <v>1</v>
      </c>
      <c r="U80" s="130" t="b">
        <v>1</v>
      </c>
      <c r="V80" s="130" t="b">
        <v>1</v>
      </c>
      <c r="W80" s="130" t="b">
        <v>1</v>
      </c>
      <c r="X80" s="130" t="b">
        <v>1</v>
      </c>
      <c r="Y80" s="130" t="b">
        <v>1</v>
      </c>
      <c r="Z80" s="130" t="b">
        <v>1</v>
      </c>
      <c r="AA80" s="130" t="b">
        <v>1</v>
      </c>
      <c r="AB80" s="130" t="b">
        <v>1</v>
      </c>
      <c r="AC80" s="130" t="b">
        <v>1</v>
      </c>
      <c r="AD80" s="130" t="b">
        <v>1</v>
      </c>
      <c r="AE80" s="130" t="b">
        <v>1</v>
      </c>
      <c r="AF80" s="130" t="b">
        <v>1</v>
      </c>
      <c r="AG80" s="130" t="b">
        <v>1</v>
      </c>
    </row>
    <row r="81" spans="1:33">
      <c r="A81" s="353"/>
      <c r="B81" s="354" t="s">
        <v>389</v>
      </c>
      <c r="C81" s="355" t="s">
        <v>390</v>
      </c>
      <c r="D81" s="356">
        <f t="shared" si="20"/>
        <v>0.99887999999999999</v>
      </c>
      <c r="E81" s="357">
        <f t="shared" si="22"/>
        <v>0</v>
      </c>
      <c r="F81" s="358">
        <v>0</v>
      </c>
      <c r="G81" s="359">
        <v>0</v>
      </c>
      <c r="H81" s="360">
        <v>0</v>
      </c>
      <c r="I81" s="356">
        <f t="shared" si="28"/>
        <v>0.99887999999999999</v>
      </c>
      <c r="J81" s="358">
        <v>0.14052999999999999</v>
      </c>
      <c r="K81" s="359">
        <v>0</v>
      </c>
      <c r="L81" s="359">
        <v>0.85834999999999995</v>
      </c>
      <c r="M81" s="361">
        <v>0</v>
      </c>
      <c r="N81" s="356">
        <f t="shared" si="32"/>
        <v>0</v>
      </c>
      <c r="O81" s="362">
        <v>0</v>
      </c>
      <c r="P81" s="360">
        <v>0</v>
      </c>
      <c r="Q81" s="363">
        <v>0</v>
      </c>
      <c r="R81" s="130"/>
      <c r="T81" s="130" t="b">
        <v>1</v>
      </c>
      <c r="U81" s="130" t="b">
        <v>1</v>
      </c>
      <c r="V81" s="130" t="b">
        <v>1</v>
      </c>
      <c r="W81" s="130" t="b">
        <v>1</v>
      </c>
      <c r="X81" s="130" t="b">
        <v>1</v>
      </c>
      <c r="Y81" s="130" t="b">
        <v>1</v>
      </c>
      <c r="Z81" s="130" t="b">
        <v>1</v>
      </c>
      <c r="AA81" s="130" t="b">
        <v>1</v>
      </c>
      <c r="AB81" s="130" t="b">
        <v>1</v>
      </c>
      <c r="AC81" s="130" t="b">
        <v>1</v>
      </c>
      <c r="AD81" s="130" t="b">
        <v>1</v>
      </c>
      <c r="AE81" s="130" t="b">
        <v>1</v>
      </c>
      <c r="AF81" s="130" t="b">
        <v>1</v>
      </c>
      <c r="AG81" s="130" t="b">
        <v>1</v>
      </c>
    </row>
    <row r="82" spans="1:33">
      <c r="A82" s="353"/>
      <c r="B82" s="364" t="s">
        <v>391</v>
      </c>
      <c r="C82" s="365" t="s">
        <v>392</v>
      </c>
      <c r="D82" s="356">
        <f t="shared" si="20"/>
        <v>0</v>
      </c>
      <c r="E82" s="357">
        <f t="shared" si="22"/>
        <v>0</v>
      </c>
      <c r="F82" s="358">
        <v>0</v>
      </c>
      <c r="G82" s="359">
        <v>0</v>
      </c>
      <c r="H82" s="360">
        <v>0</v>
      </c>
      <c r="I82" s="356">
        <f t="shared" si="28"/>
        <v>0</v>
      </c>
      <c r="J82" s="358">
        <v>0</v>
      </c>
      <c r="K82" s="359">
        <v>0</v>
      </c>
      <c r="L82" s="359">
        <v>0</v>
      </c>
      <c r="M82" s="361">
        <v>0</v>
      </c>
      <c r="N82" s="356">
        <f t="shared" si="32"/>
        <v>0</v>
      </c>
      <c r="O82" s="362">
        <v>0</v>
      </c>
      <c r="P82" s="360">
        <v>0</v>
      </c>
      <c r="Q82" s="363">
        <v>0</v>
      </c>
      <c r="R82" s="130"/>
      <c r="T82" s="130" t="b">
        <v>1</v>
      </c>
      <c r="U82" s="130" t="b">
        <v>1</v>
      </c>
      <c r="V82" s="130" t="b">
        <v>1</v>
      </c>
      <c r="W82" s="130" t="b">
        <v>1</v>
      </c>
      <c r="X82" s="130" t="b">
        <v>1</v>
      </c>
      <c r="Y82" s="130" t="b">
        <v>1</v>
      </c>
      <c r="Z82" s="130" t="b">
        <v>1</v>
      </c>
      <c r="AA82" s="130" t="b">
        <v>1</v>
      </c>
      <c r="AB82" s="130" t="b">
        <v>1</v>
      </c>
      <c r="AC82" s="130" t="b">
        <v>1</v>
      </c>
      <c r="AD82" s="130" t="b">
        <v>1</v>
      </c>
      <c r="AE82" s="130" t="b">
        <v>1</v>
      </c>
      <c r="AF82" s="130" t="b">
        <v>1</v>
      </c>
      <c r="AG82" s="130" t="b">
        <v>1</v>
      </c>
    </row>
    <row r="83" spans="1:33">
      <c r="A83" s="353"/>
      <c r="B83" s="366" t="s">
        <v>393</v>
      </c>
      <c r="C83" s="367" t="s">
        <v>394</v>
      </c>
      <c r="D83" s="237">
        <f t="shared" si="20"/>
        <v>29.655139999999999</v>
      </c>
      <c r="E83" s="238">
        <f t="shared" si="22"/>
        <v>14.35397</v>
      </c>
      <c r="F83" s="358">
        <v>0</v>
      </c>
      <c r="G83" s="359">
        <v>0</v>
      </c>
      <c r="H83" s="360">
        <v>14.35397</v>
      </c>
      <c r="I83" s="237">
        <f t="shared" si="28"/>
        <v>15.301169999999999</v>
      </c>
      <c r="J83" s="358">
        <v>0</v>
      </c>
      <c r="K83" s="359">
        <v>14.99123</v>
      </c>
      <c r="L83" s="359">
        <v>0.30993999999999999</v>
      </c>
      <c r="M83" s="361">
        <v>0</v>
      </c>
      <c r="N83" s="356">
        <f t="shared" si="32"/>
        <v>0</v>
      </c>
      <c r="O83" s="282">
        <v>0</v>
      </c>
      <c r="P83" s="360">
        <v>0</v>
      </c>
      <c r="Q83" s="363">
        <v>0</v>
      </c>
      <c r="R83" s="130"/>
      <c r="T83" s="130" t="b">
        <v>1</v>
      </c>
      <c r="U83" s="130" t="b">
        <v>1</v>
      </c>
      <c r="V83" s="130" t="b">
        <v>1</v>
      </c>
      <c r="W83" s="130" t="b">
        <v>1</v>
      </c>
      <c r="X83" s="130" t="b">
        <v>1</v>
      </c>
      <c r="Y83" s="130" t="b">
        <v>1</v>
      </c>
      <c r="Z83" s="130" t="b">
        <v>1</v>
      </c>
      <c r="AA83" s="130" t="b">
        <v>1</v>
      </c>
      <c r="AB83" s="130" t="b">
        <v>1</v>
      </c>
      <c r="AC83" s="130" t="b">
        <v>1</v>
      </c>
      <c r="AD83" s="130" t="b">
        <v>1</v>
      </c>
      <c r="AE83" s="130" t="b">
        <v>1</v>
      </c>
      <c r="AF83" s="130" t="b">
        <v>1</v>
      </c>
      <c r="AG83" s="130" t="b">
        <v>1</v>
      </c>
    </row>
    <row r="84" spans="1:33">
      <c r="A84" s="353"/>
      <c r="B84" s="368" t="s">
        <v>395</v>
      </c>
      <c r="C84" s="369" t="s">
        <v>396</v>
      </c>
      <c r="D84" s="245">
        <f t="shared" si="20"/>
        <v>3.5053979999999996</v>
      </c>
      <c r="E84" s="246">
        <f t="shared" si="22"/>
        <v>1.035E-2</v>
      </c>
      <c r="F84" s="358">
        <f>0.01035</f>
        <v>1.035E-2</v>
      </c>
      <c r="G84" s="359">
        <v>0</v>
      </c>
      <c r="H84" s="360">
        <v>0</v>
      </c>
      <c r="I84" s="245">
        <f t="shared" si="28"/>
        <v>3.4279299999999999</v>
      </c>
      <c r="J84" s="358">
        <v>0.75424999999999998</v>
      </c>
      <c r="K84" s="359">
        <v>1.14368</v>
      </c>
      <c r="L84" s="359">
        <v>1.53</v>
      </c>
      <c r="M84" s="361">
        <v>0</v>
      </c>
      <c r="N84" s="370">
        <f t="shared" si="32"/>
        <v>0</v>
      </c>
      <c r="O84" s="371">
        <v>0</v>
      </c>
      <c r="P84" s="360">
        <v>0</v>
      </c>
      <c r="Q84" s="363">
        <v>6.7117999999999997E-2</v>
      </c>
      <c r="R84" s="130"/>
      <c r="T84" s="130" t="b">
        <v>1</v>
      </c>
      <c r="U84" s="130" t="b">
        <v>1</v>
      </c>
      <c r="V84" s="130" t="b">
        <v>1</v>
      </c>
      <c r="W84" s="130" t="b">
        <v>1</v>
      </c>
      <c r="X84" s="130" t="b">
        <v>1</v>
      </c>
      <c r="Y84" s="130" t="b">
        <v>1</v>
      </c>
      <c r="Z84" s="130" t="b">
        <v>1</v>
      </c>
      <c r="AA84" s="130" t="b">
        <v>1</v>
      </c>
      <c r="AB84" s="130" t="b">
        <v>1</v>
      </c>
      <c r="AC84" s="130" t="b">
        <v>1</v>
      </c>
      <c r="AD84" s="130" t="b">
        <v>1</v>
      </c>
      <c r="AE84" s="130" t="b">
        <v>1</v>
      </c>
      <c r="AF84" s="130" t="b">
        <v>1</v>
      </c>
      <c r="AG84" s="130" t="b">
        <v>1</v>
      </c>
    </row>
    <row r="85" spans="1:33">
      <c r="A85" s="353"/>
      <c r="B85" s="368" t="s">
        <v>397</v>
      </c>
      <c r="C85" s="244" t="s">
        <v>398</v>
      </c>
      <c r="D85" s="245">
        <f t="shared" si="20"/>
        <v>0</v>
      </c>
      <c r="E85" s="246">
        <f t="shared" si="22"/>
        <v>0</v>
      </c>
      <c r="F85" s="358">
        <v>0</v>
      </c>
      <c r="G85" s="359">
        <v>0</v>
      </c>
      <c r="H85" s="360">
        <v>0</v>
      </c>
      <c r="I85" s="245">
        <f t="shared" si="28"/>
        <v>0</v>
      </c>
      <c r="J85" s="358">
        <v>0</v>
      </c>
      <c r="K85" s="359">
        <v>0</v>
      </c>
      <c r="L85" s="359">
        <v>0</v>
      </c>
      <c r="M85" s="361">
        <v>0</v>
      </c>
      <c r="N85" s="370">
        <f t="shared" si="32"/>
        <v>0</v>
      </c>
      <c r="O85" s="371">
        <v>0</v>
      </c>
      <c r="P85" s="360">
        <v>0</v>
      </c>
      <c r="Q85" s="363">
        <v>0</v>
      </c>
      <c r="R85" s="130"/>
      <c r="T85" s="130" t="b">
        <v>1</v>
      </c>
      <c r="U85" s="130" t="b">
        <v>1</v>
      </c>
      <c r="V85" s="130" t="b">
        <v>1</v>
      </c>
      <c r="W85" s="130" t="b">
        <v>1</v>
      </c>
      <c r="X85" s="130" t="b">
        <v>1</v>
      </c>
      <c r="Y85" s="130" t="b">
        <v>1</v>
      </c>
      <c r="Z85" s="130" t="b">
        <v>1</v>
      </c>
      <c r="AA85" s="130" t="b">
        <v>1</v>
      </c>
      <c r="AB85" s="130" t="b">
        <v>1</v>
      </c>
      <c r="AC85" s="130" t="b">
        <v>1</v>
      </c>
      <c r="AD85" s="130" t="b">
        <v>1</v>
      </c>
      <c r="AE85" s="130" t="b">
        <v>1</v>
      </c>
      <c r="AF85" s="130" t="b">
        <v>1</v>
      </c>
      <c r="AG85" s="130" t="b">
        <v>1</v>
      </c>
    </row>
    <row r="86" spans="1:33">
      <c r="A86" s="353"/>
      <c r="B86" s="368" t="s">
        <v>399</v>
      </c>
      <c r="C86" s="244" t="s">
        <v>400</v>
      </c>
      <c r="D86" s="245">
        <f t="shared" si="20"/>
        <v>0</v>
      </c>
      <c r="E86" s="246">
        <f t="shared" si="22"/>
        <v>0</v>
      </c>
      <c r="F86" s="358">
        <v>0</v>
      </c>
      <c r="G86" s="359">
        <v>0</v>
      </c>
      <c r="H86" s="360">
        <v>0</v>
      </c>
      <c r="I86" s="245">
        <f t="shared" si="28"/>
        <v>0</v>
      </c>
      <c r="J86" s="358">
        <v>0</v>
      </c>
      <c r="K86" s="359">
        <v>0</v>
      </c>
      <c r="L86" s="359">
        <v>0</v>
      </c>
      <c r="M86" s="361">
        <v>0</v>
      </c>
      <c r="N86" s="370">
        <f t="shared" si="32"/>
        <v>0</v>
      </c>
      <c r="O86" s="371">
        <v>0</v>
      </c>
      <c r="P86" s="360">
        <v>0</v>
      </c>
      <c r="Q86" s="363">
        <v>0</v>
      </c>
      <c r="R86" s="130"/>
      <c r="T86" s="130" t="b">
        <v>1</v>
      </c>
      <c r="U86" s="130" t="b">
        <v>1</v>
      </c>
      <c r="V86" s="130" t="b">
        <v>1</v>
      </c>
      <c r="W86" s="130" t="b">
        <v>1</v>
      </c>
      <c r="X86" s="130" t="b">
        <v>1</v>
      </c>
      <c r="Y86" s="130" t="b">
        <v>1</v>
      </c>
      <c r="Z86" s="130" t="b">
        <v>1</v>
      </c>
      <c r="AA86" s="130" t="b">
        <v>1</v>
      </c>
      <c r="AB86" s="130" t="b">
        <v>1</v>
      </c>
      <c r="AC86" s="130" t="b">
        <v>1</v>
      </c>
      <c r="AD86" s="130" t="b">
        <v>1</v>
      </c>
      <c r="AE86" s="130" t="b">
        <v>1</v>
      </c>
      <c r="AF86" s="130" t="b">
        <v>1</v>
      </c>
      <c r="AG86" s="130" t="b">
        <v>1</v>
      </c>
    </row>
    <row r="87" spans="1:33" ht="15" thickBot="1">
      <c r="A87" s="353"/>
      <c r="B87" s="368" t="s">
        <v>401</v>
      </c>
      <c r="C87" s="244" t="s">
        <v>402</v>
      </c>
      <c r="D87" s="245">
        <f t="shared" si="20"/>
        <v>0</v>
      </c>
      <c r="E87" s="246">
        <f t="shared" ref="E87:E92" si="34">SUM(F87:H87)</f>
        <v>0</v>
      </c>
      <c r="F87" s="372">
        <v>0</v>
      </c>
      <c r="G87" s="373">
        <v>0</v>
      </c>
      <c r="H87" s="374">
        <v>0</v>
      </c>
      <c r="I87" s="245">
        <f t="shared" si="28"/>
        <v>0</v>
      </c>
      <c r="J87" s="372">
        <v>0</v>
      </c>
      <c r="K87" s="373">
        <v>0</v>
      </c>
      <c r="L87" s="373">
        <v>0</v>
      </c>
      <c r="M87" s="375">
        <v>0</v>
      </c>
      <c r="N87" s="245">
        <f t="shared" si="32"/>
        <v>0</v>
      </c>
      <c r="O87" s="371">
        <v>0</v>
      </c>
      <c r="P87" s="374">
        <v>0</v>
      </c>
      <c r="Q87" s="376">
        <v>0</v>
      </c>
      <c r="R87" s="130"/>
      <c r="T87" s="130" t="b">
        <v>1</v>
      </c>
      <c r="U87" s="130" t="b">
        <v>1</v>
      </c>
      <c r="V87" s="130" t="b">
        <v>1</v>
      </c>
      <c r="W87" s="130" t="b">
        <v>1</v>
      </c>
      <c r="X87" s="130" t="b">
        <v>1</v>
      </c>
      <c r="Y87" s="130" t="b">
        <v>1</v>
      </c>
      <c r="Z87" s="130" t="b">
        <v>1</v>
      </c>
      <c r="AA87" s="130" t="b">
        <v>1</v>
      </c>
      <c r="AB87" s="130" t="b">
        <v>1</v>
      </c>
      <c r="AC87" s="130" t="b">
        <v>1</v>
      </c>
      <c r="AD87" s="130" t="b">
        <v>1</v>
      </c>
      <c r="AE87" s="130" t="b">
        <v>1</v>
      </c>
      <c r="AF87" s="130" t="b">
        <v>1</v>
      </c>
      <c r="AG87" s="130" t="b">
        <v>1</v>
      </c>
    </row>
    <row r="88" spans="1:33" ht="15.6" thickTop="1" thickBot="1">
      <c r="A88" s="353"/>
      <c r="B88" s="260" t="s">
        <v>56</v>
      </c>
      <c r="C88" s="146" t="s">
        <v>403</v>
      </c>
      <c r="D88" s="1290">
        <f>D89+D92+D95+D97+D103+D104+D109+D113+D116+D131+D132</f>
        <v>191.22687999999997</v>
      </c>
      <c r="E88" s="261">
        <f t="shared" si="34"/>
        <v>48.883896275806691</v>
      </c>
      <c r="F88" s="262">
        <f>F89+F92+F95+F97+F103+F104+F109+F113+F116+F131+F132</f>
        <v>1.9247743781590416</v>
      </c>
      <c r="G88" s="263">
        <f>G89+G92+G95+G97+G103+G104+G109+G113+G116+G131+G132</f>
        <v>8.7293195709737841</v>
      </c>
      <c r="H88" s="264">
        <f>H89+H92+H95+H97+H103+H104+H109+H113+H116+H131+H132</f>
        <v>38.229802326673862</v>
      </c>
      <c r="I88" s="260">
        <f t="shared" si="28"/>
        <v>142.32670246325682</v>
      </c>
      <c r="J88" s="262">
        <f t="shared" ref="J88:Q88" si="35">J89+J92+J95+J97+J103+J104+J109+J113+J116+J131+J132</f>
        <v>92.189842780687684</v>
      </c>
      <c r="K88" s="263">
        <f t="shared" si="35"/>
        <v>31.310554824724175</v>
      </c>
      <c r="L88" s="263">
        <f t="shared" si="35"/>
        <v>18.826304857844971</v>
      </c>
      <c r="M88" s="265">
        <f t="shared" si="35"/>
        <v>0</v>
      </c>
      <c r="N88" s="260">
        <f t="shared" si="32"/>
        <v>1.628126093651705E-2</v>
      </c>
      <c r="O88" s="266">
        <f>O89+O92+O95+O97+O103+O104+O109+O113+O116+O131+O132</f>
        <v>1.628126093651705E-2</v>
      </c>
      <c r="P88" s="264">
        <f t="shared" si="35"/>
        <v>0</v>
      </c>
      <c r="Q88" s="260">
        <f t="shared" si="35"/>
        <v>0</v>
      </c>
      <c r="R88" s="130"/>
      <c r="T88" s="130" t="b">
        <v>1</v>
      </c>
      <c r="U88" s="130" t="b">
        <v>1</v>
      </c>
      <c r="V88" s="130" t="b">
        <v>1</v>
      </c>
      <c r="W88" s="130" t="b">
        <v>1</v>
      </c>
      <c r="X88" s="130" t="b">
        <v>1</v>
      </c>
      <c r="Y88" s="130" t="b">
        <v>1</v>
      </c>
      <c r="Z88" s="130" t="b">
        <v>1</v>
      </c>
      <c r="AA88" s="130" t="b">
        <v>1</v>
      </c>
      <c r="AB88" s="130" t="b">
        <v>1</v>
      </c>
      <c r="AC88" s="130" t="b">
        <v>1</v>
      </c>
      <c r="AD88" s="130" t="b">
        <v>1</v>
      </c>
      <c r="AE88" s="130" t="b">
        <v>1</v>
      </c>
      <c r="AF88" s="130" t="b">
        <v>1</v>
      </c>
      <c r="AG88" s="130" t="b">
        <v>1</v>
      </c>
    </row>
    <row r="89" spans="1:33" ht="15" thickTop="1">
      <c r="B89" s="154" t="s">
        <v>144</v>
      </c>
      <c r="C89" s="377" t="s">
        <v>297</v>
      </c>
      <c r="D89" s="378">
        <f>D90+D91</f>
        <v>0</v>
      </c>
      <c r="E89" s="379">
        <f t="shared" si="34"/>
        <v>0</v>
      </c>
      <c r="F89" s="380">
        <f>F90+F91</f>
        <v>0</v>
      </c>
      <c r="G89" s="381">
        <f>G90+G91</f>
        <v>0</v>
      </c>
      <c r="H89" s="382">
        <f>H90+H91</f>
        <v>0</v>
      </c>
      <c r="I89" s="383">
        <f t="shared" si="28"/>
        <v>0</v>
      </c>
      <c r="J89" s="380">
        <f t="shared" ref="J89:Q89" si="36">J90+J91</f>
        <v>0</v>
      </c>
      <c r="K89" s="381">
        <f t="shared" si="36"/>
        <v>0</v>
      </c>
      <c r="L89" s="381">
        <f t="shared" si="36"/>
        <v>0</v>
      </c>
      <c r="M89" s="384">
        <f t="shared" si="36"/>
        <v>0</v>
      </c>
      <c r="N89" s="383">
        <f t="shared" si="32"/>
        <v>0</v>
      </c>
      <c r="O89" s="385">
        <f>O90+O91</f>
        <v>0</v>
      </c>
      <c r="P89" s="382">
        <f t="shared" si="36"/>
        <v>0</v>
      </c>
      <c r="Q89" s="383">
        <f t="shared" si="36"/>
        <v>0</v>
      </c>
      <c r="R89" s="130"/>
      <c r="T89" s="130" t="b">
        <v>1</v>
      </c>
      <c r="U89" s="130" t="b">
        <v>1</v>
      </c>
      <c r="V89" s="130" t="b">
        <v>1</v>
      </c>
      <c r="W89" s="130" t="b">
        <v>1</v>
      </c>
      <c r="X89" s="130" t="b">
        <v>1</v>
      </c>
      <c r="Y89" s="130" t="b">
        <v>1</v>
      </c>
      <c r="Z89" s="130" t="b">
        <v>1</v>
      </c>
      <c r="AA89" s="130" t="b">
        <v>1</v>
      </c>
      <c r="AB89" s="130" t="b">
        <v>1</v>
      </c>
      <c r="AC89" s="130" t="b">
        <v>1</v>
      </c>
      <c r="AD89" s="130" t="b">
        <v>1</v>
      </c>
      <c r="AE89" s="130" t="b">
        <v>1</v>
      </c>
      <c r="AF89" s="130" t="b">
        <v>1</v>
      </c>
      <c r="AG89" s="130" t="b">
        <v>1</v>
      </c>
    </row>
    <row r="90" spans="1:33" ht="26.4">
      <c r="B90" s="183" t="s">
        <v>404</v>
      </c>
      <c r="C90" s="184" t="s">
        <v>264</v>
      </c>
      <c r="D90" s="386">
        <v>0</v>
      </c>
      <c r="E90" s="238">
        <f t="shared" si="34"/>
        <v>0</v>
      </c>
      <c r="F90" s="239">
        <f>IFERROR($D$90*F141/100, 0)</f>
        <v>0</v>
      </c>
      <c r="G90" s="240">
        <f>IFERROR($D$90*G141/100, 0)</f>
        <v>0</v>
      </c>
      <c r="H90" s="241">
        <f>IFERROR($D$90*H141/100, 0)</f>
        <v>0</v>
      </c>
      <c r="I90" s="237">
        <f t="shared" si="28"/>
        <v>0</v>
      </c>
      <c r="J90" s="239">
        <f t="shared" ref="J90:Q90" si="37">IFERROR($D$90*J141/100, 0)</f>
        <v>0</v>
      </c>
      <c r="K90" s="240">
        <f t="shared" si="37"/>
        <v>0</v>
      </c>
      <c r="L90" s="240">
        <f t="shared" si="37"/>
        <v>0</v>
      </c>
      <c r="M90" s="242">
        <f t="shared" si="37"/>
        <v>0</v>
      </c>
      <c r="N90" s="237">
        <f t="shared" si="32"/>
        <v>0</v>
      </c>
      <c r="O90" s="243">
        <f>IFERROR($D$90*O141/100, 0)</f>
        <v>0</v>
      </c>
      <c r="P90" s="241">
        <f t="shared" si="37"/>
        <v>0</v>
      </c>
      <c r="Q90" s="237">
        <f t="shared" si="37"/>
        <v>0</v>
      </c>
      <c r="R90" s="130"/>
      <c r="T90" s="130" t="b">
        <v>1</v>
      </c>
      <c r="U90" s="130" t="b">
        <v>1</v>
      </c>
      <c r="V90" s="130" t="b">
        <v>1</v>
      </c>
      <c r="W90" s="130" t="b">
        <v>1</v>
      </c>
      <c r="X90" s="130" t="b">
        <v>1</v>
      </c>
      <c r="Y90" s="130" t="b">
        <v>1</v>
      </c>
      <c r="Z90" s="130" t="b">
        <v>1</v>
      </c>
      <c r="AA90" s="130" t="b">
        <v>1</v>
      </c>
      <c r="AB90" s="130" t="b">
        <v>1</v>
      </c>
      <c r="AC90" s="130" t="b">
        <v>1</v>
      </c>
      <c r="AD90" s="130" t="b">
        <v>1</v>
      </c>
      <c r="AE90" s="130" t="b">
        <v>1</v>
      </c>
      <c r="AF90" s="130" t="b">
        <v>1</v>
      </c>
      <c r="AG90" s="130" t="b">
        <v>1</v>
      </c>
    </row>
    <row r="91" spans="1:33" ht="15" thickBot="1">
      <c r="B91" s="183" t="s">
        <v>405</v>
      </c>
      <c r="C91" s="193" t="s">
        <v>300</v>
      </c>
      <c r="D91" s="386">
        <v>0</v>
      </c>
      <c r="E91" s="238">
        <f t="shared" si="34"/>
        <v>0</v>
      </c>
      <c r="F91" s="239">
        <f>IFERROR($D$91*F142/100, 0)</f>
        <v>0</v>
      </c>
      <c r="G91" s="240">
        <f>IFERROR($D$91*G142/100, 0)</f>
        <v>0</v>
      </c>
      <c r="H91" s="241">
        <f>IFERROR($D$91*H142/100, 0)</f>
        <v>0</v>
      </c>
      <c r="I91" s="237">
        <f t="shared" si="28"/>
        <v>0</v>
      </c>
      <c r="J91" s="239">
        <f t="shared" ref="J91:Q91" si="38">IFERROR($D$91*J142/100, 0)</f>
        <v>0</v>
      </c>
      <c r="K91" s="240">
        <f t="shared" si="38"/>
        <v>0</v>
      </c>
      <c r="L91" s="240">
        <f t="shared" si="38"/>
        <v>0</v>
      </c>
      <c r="M91" s="242">
        <f t="shared" si="38"/>
        <v>0</v>
      </c>
      <c r="N91" s="237">
        <f t="shared" si="32"/>
        <v>0</v>
      </c>
      <c r="O91" s="243">
        <f>IFERROR($D$91*O142/100, 0)</f>
        <v>0</v>
      </c>
      <c r="P91" s="241">
        <f t="shared" si="38"/>
        <v>0</v>
      </c>
      <c r="Q91" s="237">
        <f t="shared" si="38"/>
        <v>0</v>
      </c>
      <c r="R91" s="130"/>
      <c r="T91" s="130" t="b">
        <v>1</v>
      </c>
      <c r="U91" s="130" t="b">
        <v>1</v>
      </c>
      <c r="V91" s="130" t="b">
        <v>1</v>
      </c>
      <c r="W91" s="130" t="b">
        <v>1</v>
      </c>
      <c r="X91" s="130" t="b">
        <v>1</v>
      </c>
      <c r="Y91" s="130" t="b">
        <v>1</v>
      </c>
      <c r="Z91" s="130" t="b">
        <v>1</v>
      </c>
      <c r="AA91" s="130" t="b">
        <v>1</v>
      </c>
      <c r="AB91" s="130" t="b">
        <v>1</v>
      </c>
      <c r="AC91" s="130" t="b">
        <v>1</v>
      </c>
      <c r="AD91" s="130" t="b">
        <v>1</v>
      </c>
      <c r="AE91" s="130" t="b">
        <v>1</v>
      </c>
      <c r="AF91" s="130" t="b">
        <v>1</v>
      </c>
      <c r="AG91" s="130" t="b">
        <v>1</v>
      </c>
    </row>
    <row r="92" spans="1:33">
      <c r="B92" s="387" t="s">
        <v>146</v>
      </c>
      <c r="C92" s="272" t="s">
        <v>307</v>
      </c>
      <c r="D92" s="388">
        <f>D93+D94</f>
        <v>4.5314519999999998</v>
      </c>
      <c r="E92" s="166">
        <f t="shared" si="34"/>
        <v>1.1583885568116614</v>
      </c>
      <c r="F92" s="167">
        <f>F93+F94</f>
        <v>4.5610861325863533E-2</v>
      </c>
      <c r="G92" s="168">
        <f>G93+G94</f>
        <v>0.20685634063855612</v>
      </c>
      <c r="H92" s="169">
        <f>H93+H94</f>
        <v>0.90592135484724179</v>
      </c>
      <c r="I92" s="165">
        <f t="shared" si="28"/>
        <v>3.3726776305220794</v>
      </c>
      <c r="J92" s="167">
        <f t="shared" ref="J92:Q92" si="39">J93+J94</f>
        <v>2.1845979364837866</v>
      </c>
      <c r="K92" s="168">
        <f t="shared" si="39"/>
        <v>0.74195780573110848</v>
      </c>
      <c r="L92" s="168">
        <f t="shared" si="39"/>
        <v>0.44612188830718419</v>
      </c>
      <c r="M92" s="170">
        <f t="shared" si="39"/>
        <v>0</v>
      </c>
      <c r="N92" s="165">
        <f t="shared" si="32"/>
        <v>3.8581266625958675E-4</v>
      </c>
      <c r="O92" s="171">
        <f>O93+O94</f>
        <v>3.8581266625958675E-4</v>
      </c>
      <c r="P92" s="169">
        <f t="shared" si="39"/>
        <v>0</v>
      </c>
      <c r="Q92" s="165">
        <f t="shared" si="39"/>
        <v>0</v>
      </c>
      <c r="R92" s="130"/>
      <c r="T92" s="130" t="b">
        <v>1</v>
      </c>
      <c r="U92" s="130" t="b">
        <v>1</v>
      </c>
      <c r="V92" s="130" t="b">
        <v>1</v>
      </c>
      <c r="W92" s="130" t="b">
        <v>1</v>
      </c>
      <c r="X92" s="130" t="b">
        <v>1</v>
      </c>
      <c r="Y92" s="130" t="b">
        <v>1</v>
      </c>
      <c r="Z92" s="130" t="b">
        <v>1</v>
      </c>
      <c r="AA92" s="130" t="b">
        <v>1</v>
      </c>
      <c r="AB92" s="130" t="b">
        <v>1</v>
      </c>
      <c r="AC92" s="130" t="b">
        <v>1</v>
      </c>
      <c r="AD92" s="130" t="b">
        <v>1</v>
      </c>
      <c r="AE92" s="130" t="b">
        <v>1</v>
      </c>
      <c r="AF92" s="130" t="b">
        <v>1</v>
      </c>
      <c r="AG92" s="130" t="b">
        <v>1</v>
      </c>
    </row>
    <row r="93" spans="1:33" ht="26.4">
      <c r="B93" s="192" t="s">
        <v>148</v>
      </c>
      <c r="C93" s="184" t="s">
        <v>309</v>
      </c>
      <c r="D93" s="386">
        <v>4.5314519999999998</v>
      </c>
      <c r="E93" s="238">
        <f t="shared" si="22"/>
        <v>1.1583885568116614</v>
      </c>
      <c r="F93" s="239">
        <f>IFERROR($D$93*F144/100, 0)</f>
        <v>4.5610861325863533E-2</v>
      </c>
      <c r="G93" s="240">
        <f>IFERROR($D$93*G144/100, 0)</f>
        <v>0.20685634063855612</v>
      </c>
      <c r="H93" s="241">
        <f>IFERROR($D$93*H144/100, 0)</f>
        <v>0.90592135484724179</v>
      </c>
      <c r="I93" s="237">
        <f t="shared" si="28"/>
        <v>3.3726776305220794</v>
      </c>
      <c r="J93" s="239">
        <f t="shared" ref="J93:Q93" si="40">IFERROR($D$93*J144/100, 0)</f>
        <v>2.1845979364837866</v>
      </c>
      <c r="K93" s="240">
        <f t="shared" si="40"/>
        <v>0.74195780573110848</v>
      </c>
      <c r="L93" s="240">
        <f t="shared" si="40"/>
        <v>0.44612188830718419</v>
      </c>
      <c r="M93" s="242">
        <f t="shared" si="40"/>
        <v>0</v>
      </c>
      <c r="N93" s="237">
        <f t="shared" si="32"/>
        <v>3.8581266625958675E-4</v>
      </c>
      <c r="O93" s="243">
        <f>IFERROR($D$93*O144/100, 0)</f>
        <v>3.8581266625958675E-4</v>
      </c>
      <c r="P93" s="241">
        <f t="shared" si="40"/>
        <v>0</v>
      </c>
      <c r="Q93" s="237">
        <f t="shared" si="40"/>
        <v>0</v>
      </c>
      <c r="R93" s="130"/>
      <c r="T93" s="130" t="b">
        <v>1</v>
      </c>
      <c r="U93" s="130" t="b">
        <v>1</v>
      </c>
      <c r="V93" s="130" t="b">
        <v>1</v>
      </c>
      <c r="W93" s="130" t="b">
        <v>1</v>
      </c>
      <c r="X93" s="130" t="b">
        <v>1</v>
      </c>
      <c r="Y93" s="130" t="b">
        <v>1</v>
      </c>
      <c r="Z93" s="130" t="b">
        <v>1</v>
      </c>
      <c r="AA93" s="130" t="b">
        <v>1</v>
      </c>
      <c r="AB93" s="130" t="b">
        <v>1</v>
      </c>
      <c r="AC93" s="130" t="b">
        <v>1</v>
      </c>
      <c r="AD93" s="130" t="b">
        <v>1</v>
      </c>
      <c r="AE93" s="130" t="b">
        <v>1</v>
      </c>
      <c r="AF93" s="130" t="b">
        <v>1</v>
      </c>
      <c r="AG93" s="130" t="b">
        <v>1</v>
      </c>
    </row>
    <row r="94" spans="1:33" ht="15" thickBot="1">
      <c r="B94" s="192" t="s">
        <v>150</v>
      </c>
      <c r="C94" s="184" t="s">
        <v>311</v>
      </c>
      <c r="D94" s="386">
        <v>0</v>
      </c>
      <c r="E94" s="238">
        <f t="shared" si="22"/>
        <v>0</v>
      </c>
      <c r="F94" s="239">
        <f>IFERROR($D$94*F145/100, 0)</f>
        <v>0</v>
      </c>
      <c r="G94" s="240">
        <f>IFERROR($D$94*G145/100, 0)</f>
        <v>0</v>
      </c>
      <c r="H94" s="241">
        <f>IFERROR($D$94*H145/100, 0)</f>
        <v>0</v>
      </c>
      <c r="I94" s="237">
        <f t="shared" si="28"/>
        <v>0</v>
      </c>
      <c r="J94" s="239">
        <f t="shared" ref="J94:Q94" si="41">IFERROR($D$94*J145/100, 0)</f>
        <v>0</v>
      </c>
      <c r="K94" s="240">
        <f t="shared" si="41"/>
        <v>0</v>
      </c>
      <c r="L94" s="240">
        <f t="shared" si="41"/>
        <v>0</v>
      </c>
      <c r="M94" s="242">
        <f t="shared" si="41"/>
        <v>0</v>
      </c>
      <c r="N94" s="237">
        <f t="shared" si="32"/>
        <v>0</v>
      </c>
      <c r="O94" s="243">
        <f>IFERROR($D$94*O145/100, 0)</f>
        <v>0</v>
      </c>
      <c r="P94" s="241">
        <f t="shared" si="41"/>
        <v>0</v>
      </c>
      <c r="Q94" s="237">
        <f t="shared" si="41"/>
        <v>0</v>
      </c>
      <c r="R94" s="130"/>
      <c r="T94" s="130" t="b">
        <v>1</v>
      </c>
      <c r="U94" s="130" t="b">
        <v>1</v>
      </c>
      <c r="V94" s="130" t="b">
        <v>1</v>
      </c>
      <c r="W94" s="130" t="b">
        <v>1</v>
      </c>
      <c r="X94" s="130" t="b">
        <v>1</v>
      </c>
      <c r="Y94" s="130" t="b">
        <v>1</v>
      </c>
      <c r="Z94" s="130" t="b">
        <v>1</v>
      </c>
      <c r="AA94" s="130" t="b">
        <v>1</v>
      </c>
      <c r="AB94" s="130" t="b">
        <v>1</v>
      </c>
      <c r="AC94" s="130" t="b">
        <v>1</v>
      </c>
      <c r="AD94" s="130" t="b">
        <v>1</v>
      </c>
      <c r="AE94" s="130" t="b">
        <v>1</v>
      </c>
      <c r="AF94" s="130" t="b">
        <v>1</v>
      </c>
      <c r="AG94" s="130" t="b">
        <v>1</v>
      </c>
    </row>
    <row r="95" spans="1:33">
      <c r="B95" s="387" t="s">
        <v>154</v>
      </c>
      <c r="C95" s="272" t="s">
        <v>313</v>
      </c>
      <c r="D95" s="388">
        <f>D96</f>
        <v>0</v>
      </c>
      <c r="E95" s="166">
        <f t="shared" si="22"/>
        <v>0</v>
      </c>
      <c r="F95" s="167">
        <f>F96</f>
        <v>0</v>
      </c>
      <c r="G95" s="168">
        <f>G96</f>
        <v>0</v>
      </c>
      <c r="H95" s="169">
        <f>H96</f>
        <v>0</v>
      </c>
      <c r="I95" s="165">
        <f t="shared" si="28"/>
        <v>0</v>
      </c>
      <c r="J95" s="167">
        <f t="shared" ref="J95:Q95" si="42">J96</f>
        <v>0</v>
      </c>
      <c r="K95" s="168">
        <f t="shared" si="42"/>
        <v>0</v>
      </c>
      <c r="L95" s="168">
        <f t="shared" si="42"/>
        <v>0</v>
      </c>
      <c r="M95" s="170">
        <f t="shared" si="42"/>
        <v>0</v>
      </c>
      <c r="N95" s="165">
        <f t="shared" si="32"/>
        <v>0</v>
      </c>
      <c r="O95" s="171">
        <f>O96</f>
        <v>0</v>
      </c>
      <c r="P95" s="169">
        <f t="shared" si="42"/>
        <v>0</v>
      </c>
      <c r="Q95" s="165">
        <f t="shared" si="42"/>
        <v>0</v>
      </c>
      <c r="R95" s="130"/>
      <c r="T95" s="130" t="b">
        <v>1</v>
      </c>
      <c r="U95" s="130" t="b">
        <v>1</v>
      </c>
      <c r="V95" s="130" t="b">
        <v>1</v>
      </c>
      <c r="W95" s="130" t="b">
        <v>1</v>
      </c>
      <c r="X95" s="130" t="b">
        <v>1</v>
      </c>
      <c r="Y95" s="130" t="b">
        <v>1</v>
      </c>
      <c r="Z95" s="130" t="b">
        <v>1</v>
      </c>
      <c r="AA95" s="130" t="b">
        <v>1</v>
      </c>
      <c r="AB95" s="130" t="b">
        <v>1</v>
      </c>
      <c r="AC95" s="130" t="b">
        <v>1</v>
      </c>
      <c r="AD95" s="130" t="b">
        <v>1</v>
      </c>
      <c r="AE95" s="130" t="b">
        <v>1</v>
      </c>
      <c r="AF95" s="130" t="b">
        <v>1</v>
      </c>
      <c r="AG95" s="130" t="b">
        <v>1</v>
      </c>
    </row>
    <row r="96" spans="1:33" ht="15" thickBot="1">
      <c r="B96" s="192" t="s">
        <v>406</v>
      </c>
      <c r="C96" s="184" t="s">
        <v>315</v>
      </c>
      <c r="D96" s="386">
        <v>0</v>
      </c>
      <c r="E96" s="238">
        <f>IFERROR($D$96*E147/100, 0)</f>
        <v>0</v>
      </c>
      <c r="F96" s="239">
        <f>IFERROR($D$96*F147/100, 0)</f>
        <v>0</v>
      </c>
      <c r="G96" s="240">
        <f>IFERROR($D$96*G147/100, 0)</f>
        <v>0</v>
      </c>
      <c r="H96" s="241">
        <f>IFERROR($D$96*H147/100, 0)</f>
        <v>0</v>
      </c>
      <c r="I96" s="237">
        <f t="shared" si="28"/>
        <v>0</v>
      </c>
      <c r="J96" s="239">
        <f t="shared" ref="J96:Q96" si="43">IFERROR($D$96*J147/100, 0)</f>
        <v>0</v>
      </c>
      <c r="K96" s="240">
        <f t="shared" si="43"/>
        <v>0</v>
      </c>
      <c r="L96" s="240">
        <f t="shared" si="43"/>
        <v>0</v>
      </c>
      <c r="M96" s="242">
        <f t="shared" si="43"/>
        <v>0</v>
      </c>
      <c r="N96" s="237">
        <f t="shared" si="32"/>
        <v>0</v>
      </c>
      <c r="O96" s="243">
        <f>IFERROR($D$96*O147/100, 0)</f>
        <v>0</v>
      </c>
      <c r="P96" s="241">
        <f t="shared" si="43"/>
        <v>0</v>
      </c>
      <c r="Q96" s="237">
        <f t="shared" si="43"/>
        <v>0</v>
      </c>
      <c r="R96" s="130"/>
      <c r="T96" s="130" t="b">
        <v>1</v>
      </c>
      <c r="U96" s="130" t="b">
        <v>1</v>
      </c>
      <c r="V96" s="130" t="b">
        <v>1</v>
      </c>
      <c r="W96" s="130" t="b">
        <v>1</v>
      </c>
      <c r="X96" s="130" t="b">
        <v>1</v>
      </c>
      <c r="Y96" s="130" t="b">
        <v>1</v>
      </c>
      <c r="Z96" s="130" t="b">
        <v>1</v>
      </c>
      <c r="AA96" s="130" t="b">
        <v>1</v>
      </c>
      <c r="AB96" s="130" t="b">
        <v>1</v>
      </c>
      <c r="AC96" s="130" t="b">
        <v>1</v>
      </c>
      <c r="AD96" s="130" t="b">
        <v>1</v>
      </c>
      <c r="AE96" s="130" t="b">
        <v>1</v>
      </c>
      <c r="AF96" s="130" t="b">
        <v>1</v>
      </c>
      <c r="AG96" s="130" t="b">
        <v>1</v>
      </c>
    </row>
    <row r="97" spans="1:33">
      <c r="B97" s="387" t="s">
        <v>407</v>
      </c>
      <c r="C97" s="272" t="s">
        <v>317</v>
      </c>
      <c r="D97" s="388">
        <f>SUM(D98:D102)</f>
        <v>20.225872000000003</v>
      </c>
      <c r="E97" s="166">
        <f>SUM(F97:H97)</f>
        <v>5.1703998357121286</v>
      </c>
      <c r="F97" s="167">
        <f>SUM(F98:F102)</f>
        <v>0.20358142224317199</v>
      </c>
      <c r="G97" s="168">
        <f t="shared" ref="G97:Q97" si="44">SUM(G98:G102)</f>
        <v>0.92329122500775351</v>
      </c>
      <c r="H97" s="169">
        <f t="shared" si="44"/>
        <v>4.0435271884612032</v>
      </c>
      <c r="I97" s="165">
        <f t="shared" si="28"/>
        <v>15.053750111929439</v>
      </c>
      <c r="J97" s="167">
        <f t="shared" si="44"/>
        <v>9.7508256150093189</v>
      </c>
      <c r="K97" s="168">
        <f t="shared" si="44"/>
        <v>3.3116854394834743</v>
      </c>
      <c r="L97" s="168">
        <f t="shared" si="44"/>
        <v>1.9912390574366461</v>
      </c>
      <c r="M97" s="170">
        <f t="shared" si="44"/>
        <v>0</v>
      </c>
      <c r="N97" s="165">
        <f t="shared" si="32"/>
        <v>1.7220523584372343E-3</v>
      </c>
      <c r="O97" s="171">
        <f>SUM(O98:O102)</f>
        <v>1.7220523584372343E-3</v>
      </c>
      <c r="P97" s="169">
        <f t="shared" si="44"/>
        <v>0</v>
      </c>
      <c r="Q97" s="165">
        <f t="shared" si="44"/>
        <v>0</v>
      </c>
      <c r="R97" s="130"/>
      <c r="T97" s="130" t="b">
        <v>1</v>
      </c>
      <c r="U97" s="130" t="b">
        <v>1</v>
      </c>
      <c r="V97" s="130" t="b">
        <v>1</v>
      </c>
      <c r="W97" s="130" t="b">
        <v>1</v>
      </c>
      <c r="X97" s="130" t="b">
        <v>1</v>
      </c>
      <c r="Y97" s="130" t="b">
        <v>1</v>
      </c>
      <c r="Z97" s="130" t="b">
        <v>1</v>
      </c>
      <c r="AA97" s="130" t="b">
        <v>1</v>
      </c>
      <c r="AB97" s="130" t="b">
        <v>1</v>
      </c>
      <c r="AC97" s="130" t="b">
        <v>1</v>
      </c>
      <c r="AD97" s="130" t="b">
        <v>1</v>
      </c>
      <c r="AE97" s="130" t="b">
        <v>1</v>
      </c>
      <c r="AF97" s="130" t="b">
        <v>1</v>
      </c>
      <c r="AG97" s="130" t="b">
        <v>1</v>
      </c>
    </row>
    <row r="98" spans="1:33">
      <c r="B98" s="192" t="s">
        <v>408</v>
      </c>
      <c r="C98" s="184" t="s">
        <v>270</v>
      </c>
      <c r="D98" s="1277">
        <v>16.579730000000001</v>
      </c>
      <c r="E98" s="238">
        <f>IFERROR($D$98*E149/100, 0)</f>
        <v>4.2383257081895627</v>
      </c>
      <c r="F98" s="239">
        <f>IFERROR($D$98*F149/100, 0)</f>
        <v>0.16688155713671016</v>
      </c>
      <c r="G98" s="240">
        <f>IFERROR($D$98*G149/100, 0)</f>
        <v>0.75684841780852774</v>
      </c>
      <c r="H98" s="241">
        <f>IFERROR($D$98*H149/100, 0)</f>
        <v>3.314595733244325</v>
      </c>
      <c r="I98" s="237">
        <f t="shared" si="28"/>
        <v>12.33999267587869</v>
      </c>
      <c r="J98" s="239">
        <f t="shared" ref="J98:Q98" si="45">IFERROR($D$98*J149/100, 0)</f>
        <v>7.9930326847682238</v>
      </c>
      <c r="K98" s="240">
        <f t="shared" si="45"/>
        <v>2.7146839667316862</v>
      </c>
      <c r="L98" s="240">
        <f t="shared" si="45"/>
        <v>1.6322760243787799</v>
      </c>
      <c r="M98" s="242">
        <f t="shared" si="45"/>
        <v>0</v>
      </c>
      <c r="N98" s="237">
        <f t="shared" si="32"/>
        <v>1.4116159317508073E-3</v>
      </c>
      <c r="O98" s="243">
        <f>IFERROR($D$98*O149/100, 0)</f>
        <v>1.4116159317508073E-3</v>
      </c>
      <c r="P98" s="241">
        <f t="shared" si="45"/>
        <v>0</v>
      </c>
      <c r="Q98" s="237">
        <f t="shared" si="45"/>
        <v>0</v>
      </c>
      <c r="R98" s="130"/>
      <c r="T98" s="130" t="b">
        <v>1</v>
      </c>
      <c r="U98" s="130" t="b">
        <v>1</v>
      </c>
      <c r="V98" s="130" t="b">
        <v>1</v>
      </c>
      <c r="W98" s="130" t="b">
        <v>1</v>
      </c>
      <c r="X98" s="130" t="b">
        <v>1</v>
      </c>
      <c r="Y98" s="130" t="b">
        <v>1</v>
      </c>
      <c r="Z98" s="130" t="b">
        <v>1</v>
      </c>
      <c r="AA98" s="130" t="b">
        <v>1</v>
      </c>
      <c r="AB98" s="130" t="b">
        <v>1</v>
      </c>
      <c r="AC98" s="130" t="b">
        <v>1</v>
      </c>
      <c r="AD98" s="130" t="b">
        <v>1</v>
      </c>
      <c r="AE98" s="130" t="b">
        <v>1</v>
      </c>
      <c r="AF98" s="130" t="b">
        <v>1</v>
      </c>
      <c r="AG98" s="130" t="b">
        <v>1</v>
      </c>
    </row>
    <row r="99" spans="1:33">
      <c r="B99" s="192" t="s">
        <v>409</v>
      </c>
      <c r="C99" s="184" t="s">
        <v>274</v>
      </c>
      <c r="D99" s="1277">
        <v>1.9818359999999999</v>
      </c>
      <c r="E99" s="238">
        <f>IFERROR($D$99*E150/100, 0)</f>
        <v>0.50662263307156197</v>
      </c>
      <c r="F99" s="239">
        <f>IFERROR($D$99*F150/100, 0)</f>
        <v>1.994796523644167E-2</v>
      </c>
      <c r="G99" s="240">
        <f>IFERROR($D$99*G150/100, 0)</f>
        <v>9.0468870177981262E-2</v>
      </c>
      <c r="H99" s="241">
        <f>IFERROR($D$99*H150/100, 0)</f>
        <v>0.39620579765713915</v>
      </c>
      <c r="I99" s="237">
        <f t="shared" si="28"/>
        <v>1.4750446312933154</v>
      </c>
      <c r="J99" s="239">
        <f t="shared" ref="J99:Q99" si="46">IFERROR($D$99*J150/100, 0)</f>
        <v>0.9554365435293769</v>
      </c>
      <c r="K99" s="240">
        <f t="shared" si="46"/>
        <v>0.32449614160735174</v>
      </c>
      <c r="L99" s="240">
        <f t="shared" si="46"/>
        <v>0.19511194615658659</v>
      </c>
      <c r="M99" s="242">
        <f t="shared" si="46"/>
        <v>0</v>
      </c>
      <c r="N99" s="237">
        <f t="shared" si="32"/>
        <v>1.6873563512296598E-4</v>
      </c>
      <c r="O99" s="243">
        <f>IFERROR($D$99*O150/100, 0)</f>
        <v>1.6873563512296598E-4</v>
      </c>
      <c r="P99" s="241">
        <f t="shared" si="46"/>
        <v>0</v>
      </c>
      <c r="Q99" s="237">
        <f t="shared" si="46"/>
        <v>0</v>
      </c>
      <c r="R99" s="130"/>
      <c r="T99" s="130" t="b">
        <v>1</v>
      </c>
      <c r="U99" s="130" t="b">
        <v>1</v>
      </c>
      <c r="V99" s="130" t="b">
        <v>1</v>
      </c>
      <c r="W99" s="130" t="b">
        <v>1</v>
      </c>
      <c r="X99" s="130" t="b">
        <v>1</v>
      </c>
      <c r="Y99" s="130" t="b">
        <v>1</v>
      </c>
      <c r="Z99" s="130" t="b">
        <v>1</v>
      </c>
      <c r="AA99" s="130" t="b">
        <v>1</v>
      </c>
      <c r="AB99" s="130" t="b">
        <v>1</v>
      </c>
      <c r="AC99" s="130" t="b">
        <v>1</v>
      </c>
      <c r="AD99" s="130" t="b">
        <v>1</v>
      </c>
      <c r="AE99" s="130" t="b">
        <v>1</v>
      </c>
      <c r="AF99" s="130" t="b">
        <v>1</v>
      </c>
      <c r="AG99" s="130" t="b">
        <v>1</v>
      </c>
    </row>
    <row r="100" spans="1:33">
      <c r="B100" s="192" t="s">
        <v>410</v>
      </c>
      <c r="C100" s="284" t="s">
        <v>321</v>
      </c>
      <c r="D100" s="1277">
        <v>0</v>
      </c>
      <c r="E100" s="238">
        <f>IFERROR($D$100*E151/100, 0)</f>
        <v>0</v>
      </c>
      <c r="F100" s="239">
        <f>IFERROR($D$100*F151/100, 0)</f>
        <v>0</v>
      </c>
      <c r="G100" s="240">
        <f>IFERROR($D$100*G151/100, 0)</f>
        <v>0</v>
      </c>
      <c r="H100" s="241">
        <f>IFERROR($D$100*H151/100, 0)</f>
        <v>0</v>
      </c>
      <c r="I100" s="237">
        <f t="shared" si="28"/>
        <v>0</v>
      </c>
      <c r="J100" s="239">
        <f t="shared" ref="J100:Q100" si="47">IFERROR($D$100*J151/100, 0)</f>
        <v>0</v>
      </c>
      <c r="K100" s="240">
        <f t="shared" si="47"/>
        <v>0</v>
      </c>
      <c r="L100" s="240">
        <f t="shared" si="47"/>
        <v>0</v>
      </c>
      <c r="M100" s="242">
        <f t="shared" si="47"/>
        <v>0</v>
      </c>
      <c r="N100" s="237">
        <f t="shared" si="32"/>
        <v>0</v>
      </c>
      <c r="O100" s="243">
        <f>IFERROR($D$100*O151/100, 0)</f>
        <v>0</v>
      </c>
      <c r="P100" s="241">
        <f t="shared" si="47"/>
        <v>0</v>
      </c>
      <c r="Q100" s="237">
        <f t="shared" si="47"/>
        <v>0</v>
      </c>
      <c r="R100" s="130"/>
      <c r="T100" s="130" t="b">
        <v>1</v>
      </c>
      <c r="U100" s="130" t="b">
        <v>1</v>
      </c>
      <c r="V100" s="130" t="b">
        <v>1</v>
      </c>
      <c r="W100" s="130" t="b">
        <v>1</v>
      </c>
      <c r="X100" s="130" t="b">
        <v>1</v>
      </c>
      <c r="Y100" s="130" t="b">
        <v>1</v>
      </c>
      <c r="Z100" s="130" t="b">
        <v>1</v>
      </c>
      <c r="AA100" s="130" t="b">
        <v>1</v>
      </c>
      <c r="AB100" s="130" t="b">
        <v>1</v>
      </c>
      <c r="AC100" s="130" t="b">
        <v>1</v>
      </c>
      <c r="AD100" s="130" t="b">
        <v>1</v>
      </c>
      <c r="AE100" s="130" t="b">
        <v>1</v>
      </c>
      <c r="AF100" s="130" t="b">
        <v>1</v>
      </c>
      <c r="AG100" s="130" t="b">
        <v>1</v>
      </c>
    </row>
    <row r="101" spans="1:33">
      <c r="B101" s="192" t="s">
        <v>411</v>
      </c>
      <c r="C101" s="285" t="s">
        <v>272</v>
      </c>
      <c r="D101" s="1277">
        <v>0</v>
      </c>
      <c r="E101" s="238">
        <f>IFERROR($D$101*E152/100, 0)</f>
        <v>0</v>
      </c>
      <c r="F101" s="239">
        <f>IFERROR($D$101*F152/100, 0)</f>
        <v>0</v>
      </c>
      <c r="G101" s="240">
        <f>IFERROR($D$101*G152/100, 0)</f>
        <v>0</v>
      </c>
      <c r="H101" s="241">
        <f>IFERROR($D$101*H152/100, 0)</f>
        <v>0</v>
      </c>
      <c r="I101" s="237">
        <f t="shared" si="28"/>
        <v>0</v>
      </c>
      <c r="J101" s="239">
        <f t="shared" ref="J101:Q101" si="48">IFERROR($D$101*J152/100, 0)</f>
        <v>0</v>
      </c>
      <c r="K101" s="240">
        <f t="shared" si="48"/>
        <v>0</v>
      </c>
      <c r="L101" s="240">
        <f t="shared" si="48"/>
        <v>0</v>
      </c>
      <c r="M101" s="242">
        <f t="shared" si="48"/>
        <v>0</v>
      </c>
      <c r="N101" s="237">
        <f t="shared" si="32"/>
        <v>0</v>
      </c>
      <c r="O101" s="243">
        <f>IFERROR($D$101*O152/100, 0)</f>
        <v>0</v>
      </c>
      <c r="P101" s="241">
        <f t="shared" si="48"/>
        <v>0</v>
      </c>
      <c r="Q101" s="237">
        <f t="shared" si="48"/>
        <v>0</v>
      </c>
      <c r="R101" s="130"/>
      <c r="T101" s="130" t="b">
        <v>1</v>
      </c>
      <c r="U101" s="130" t="b">
        <v>1</v>
      </c>
      <c r="V101" s="130" t="b">
        <v>1</v>
      </c>
      <c r="W101" s="130" t="b">
        <v>1</v>
      </c>
      <c r="X101" s="130" t="b">
        <v>1</v>
      </c>
      <c r="Y101" s="130" t="b">
        <v>1</v>
      </c>
      <c r="Z101" s="130" t="b">
        <v>1</v>
      </c>
      <c r="AA101" s="130" t="b">
        <v>1</v>
      </c>
      <c r="AB101" s="130" t="b">
        <v>1</v>
      </c>
      <c r="AC101" s="130" t="b">
        <v>1</v>
      </c>
      <c r="AD101" s="130" t="b">
        <v>1</v>
      </c>
      <c r="AE101" s="130" t="b">
        <v>1</v>
      </c>
      <c r="AF101" s="130" t="b">
        <v>1</v>
      </c>
      <c r="AG101" s="130" t="b">
        <v>1</v>
      </c>
    </row>
    <row r="102" spans="1:33" ht="27.6" thickBot="1">
      <c r="B102" s="192" t="s">
        <v>412</v>
      </c>
      <c r="C102" s="285" t="s">
        <v>324</v>
      </c>
      <c r="D102" s="1277">
        <v>1.6643060000000001</v>
      </c>
      <c r="E102" s="238">
        <f>IFERROR($D$102*E153/100, 0)</f>
        <v>0.42545149445100366</v>
      </c>
      <c r="F102" s="239">
        <f>IFERROR($D$102*F153/100, 0)</f>
        <v>1.6751899870020168E-2</v>
      </c>
      <c r="G102" s="240">
        <f>IFERROR($D$102*G153/100, 0)</f>
        <v>7.5973937021244581E-2</v>
      </c>
      <c r="H102" s="241">
        <f>IFERROR($D$102*H153/100, 0)</f>
        <v>0.33272565755973887</v>
      </c>
      <c r="I102" s="237">
        <f t="shared" si="28"/>
        <v>1.2387128047574332</v>
      </c>
      <c r="J102" s="239">
        <f t="shared" ref="J102:Q102" si="49">IFERROR($D$102*J153/100, 0)</f>
        <v>0.80235638671171738</v>
      </c>
      <c r="K102" s="240">
        <f t="shared" si="49"/>
        <v>0.27250533114443631</v>
      </c>
      <c r="L102" s="240">
        <f t="shared" si="49"/>
        <v>0.16385108690127942</v>
      </c>
      <c r="M102" s="242">
        <f t="shared" si="49"/>
        <v>0</v>
      </c>
      <c r="N102" s="237">
        <f t="shared" si="32"/>
        <v>1.4170079156346086E-4</v>
      </c>
      <c r="O102" s="243">
        <f>IFERROR($D$102*O153/100, 0)</f>
        <v>1.4170079156346086E-4</v>
      </c>
      <c r="P102" s="241">
        <f t="shared" si="49"/>
        <v>0</v>
      </c>
      <c r="Q102" s="237">
        <f t="shared" si="49"/>
        <v>0</v>
      </c>
      <c r="R102" s="130"/>
      <c r="T102" s="130" t="b">
        <v>1</v>
      </c>
      <c r="U102" s="130" t="b">
        <v>1</v>
      </c>
      <c r="V102" s="130" t="b">
        <v>1</v>
      </c>
      <c r="W102" s="130" t="b">
        <v>1</v>
      </c>
      <c r="X102" s="130" t="b">
        <v>1</v>
      </c>
      <c r="Y102" s="130" t="b">
        <v>1</v>
      </c>
      <c r="Z102" s="130" t="b">
        <v>1</v>
      </c>
      <c r="AA102" s="130" t="b">
        <v>1</v>
      </c>
      <c r="AB102" s="130" t="b">
        <v>1</v>
      </c>
      <c r="AC102" s="130" t="b">
        <v>1</v>
      </c>
      <c r="AD102" s="130" t="b">
        <v>1</v>
      </c>
      <c r="AE102" s="130" t="b">
        <v>1</v>
      </c>
      <c r="AF102" s="130" t="b">
        <v>1</v>
      </c>
      <c r="AG102" s="130" t="b">
        <v>1</v>
      </c>
    </row>
    <row r="103" spans="1:33" ht="15" thickBot="1">
      <c r="B103" s="387" t="s">
        <v>413</v>
      </c>
      <c r="C103" s="272" t="s">
        <v>326</v>
      </c>
      <c r="D103" s="1278">
        <v>8.2786000000000008</v>
      </c>
      <c r="E103" s="166">
        <f>IFERROR($D$103*E154/100, 0)</f>
        <v>2.1162831486289653</v>
      </c>
      <c r="F103" s="167">
        <f>IFERROR($D$103*F154/100, 0)</f>
        <v>8.3327391876222873E-2</v>
      </c>
      <c r="G103" s="168">
        <f>IFERROR($D$103*G154/100, 0)</f>
        <v>0.37790997269977722</v>
      </c>
      <c r="H103" s="169">
        <f>IFERROR($D$103*H154/100, 0)</f>
        <v>1.6550457840529651</v>
      </c>
      <c r="I103" s="165">
        <f t="shared" si="28"/>
        <v>6.1616120025193011</v>
      </c>
      <c r="J103" s="167">
        <f t="shared" ref="J103:Q103" si="50">IFERROR($D$103*J154/100, 0)</f>
        <v>3.9910855233542537</v>
      </c>
      <c r="K103" s="168">
        <f t="shared" si="50"/>
        <v>1.3554975073167619</v>
      </c>
      <c r="L103" s="168">
        <f t="shared" si="50"/>
        <v>0.81502897184828516</v>
      </c>
      <c r="M103" s="170">
        <f t="shared" si="50"/>
        <v>0</v>
      </c>
      <c r="N103" s="165">
        <f t="shared" si="32"/>
        <v>7.048488517359591E-4</v>
      </c>
      <c r="O103" s="171">
        <f>IFERROR($D$103*O154/100, 0)</f>
        <v>7.048488517359591E-4</v>
      </c>
      <c r="P103" s="169">
        <f t="shared" si="50"/>
        <v>0</v>
      </c>
      <c r="Q103" s="165">
        <f t="shared" si="50"/>
        <v>0</v>
      </c>
      <c r="R103" s="130"/>
      <c r="T103" s="130" t="b">
        <v>1</v>
      </c>
      <c r="U103" s="130" t="b">
        <v>1</v>
      </c>
      <c r="V103" s="130" t="b">
        <v>1</v>
      </c>
      <c r="W103" s="130" t="b">
        <v>1</v>
      </c>
      <c r="X103" s="130" t="b">
        <v>1</v>
      </c>
      <c r="Y103" s="130" t="b">
        <v>1</v>
      </c>
      <c r="Z103" s="130" t="b">
        <v>1</v>
      </c>
      <c r="AA103" s="130" t="b">
        <v>1</v>
      </c>
      <c r="AB103" s="130" t="b">
        <v>1</v>
      </c>
      <c r="AC103" s="130" t="b">
        <v>1</v>
      </c>
      <c r="AD103" s="130" t="b">
        <v>1</v>
      </c>
      <c r="AE103" s="130" t="b">
        <v>1</v>
      </c>
      <c r="AF103" s="130" t="b">
        <v>1</v>
      </c>
      <c r="AG103" s="130" t="b">
        <v>1</v>
      </c>
    </row>
    <row r="104" spans="1:33">
      <c r="B104" s="387" t="s">
        <v>414</v>
      </c>
      <c r="C104" s="272" t="s">
        <v>328</v>
      </c>
      <c r="D104" s="388">
        <f>SUM(D105:D108)</f>
        <v>133.30714399999997</v>
      </c>
      <c r="E104" s="166">
        <f t="shared" ref="E104:E138" si="51">SUM(F104:H104)</f>
        <v>34.077701838360937</v>
      </c>
      <c r="F104" s="167">
        <f>SUM(F105:F108)</f>
        <v>1.3417892672659713</v>
      </c>
      <c r="G104" s="168">
        <f>SUM(G105:G108)</f>
        <v>6.0853404138049019</v>
      </c>
      <c r="H104" s="169">
        <f>SUM(H105:H108)</f>
        <v>26.650572157290064</v>
      </c>
      <c r="I104" s="165">
        <f t="shared" si="28"/>
        <v>99.218092248927192</v>
      </c>
      <c r="J104" s="167">
        <f t="shared" ref="J104:Q104" si="52">SUM(J105:J108)</f>
        <v>64.266930710277194</v>
      </c>
      <c r="K104" s="168">
        <f t="shared" si="52"/>
        <v>21.827060299992343</v>
      </c>
      <c r="L104" s="168">
        <f t="shared" si="52"/>
        <v>13.124101238657655</v>
      </c>
      <c r="M104" s="170">
        <f t="shared" si="52"/>
        <v>0</v>
      </c>
      <c r="N104" s="165">
        <f t="shared" si="32"/>
        <v>1.134991271188367E-2</v>
      </c>
      <c r="O104" s="171">
        <f>SUM(O105:O108)</f>
        <v>1.134991271188367E-2</v>
      </c>
      <c r="P104" s="169">
        <f t="shared" si="52"/>
        <v>0</v>
      </c>
      <c r="Q104" s="165">
        <f t="shared" si="52"/>
        <v>0</v>
      </c>
      <c r="R104" s="130"/>
      <c r="T104" s="130" t="b">
        <v>1</v>
      </c>
      <c r="U104" s="130" t="b">
        <v>1</v>
      </c>
      <c r="V104" s="130" t="b">
        <v>1</v>
      </c>
      <c r="W104" s="130" t="b">
        <v>1</v>
      </c>
      <c r="X104" s="130" t="b">
        <v>1</v>
      </c>
      <c r="Y104" s="130" t="b">
        <v>1</v>
      </c>
      <c r="Z104" s="130" t="b">
        <v>1</v>
      </c>
      <c r="AA104" s="130" t="b">
        <v>1</v>
      </c>
      <c r="AB104" s="130" t="b">
        <v>1</v>
      </c>
      <c r="AC104" s="130" t="b">
        <v>1</v>
      </c>
      <c r="AD104" s="130" t="b">
        <v>1</v>
      </c>
      <c r="AE104" s="130" t="b">
        <v>1</v>
      </c>
      <c r="AF104" s="130" t="b">
        <v>1</v>
      </c>
      <c r="AG104" s="130" t="b">
        <v>1</v>
      </c>
    </row>
    <row r="105" spans="1:33">
      <c r="B105" s="294" t="s">
        <v>415</v>
      </c>
      <c r="C105" s="295" t="s">
        <v>330</v>
      </c>
      <c r="D105" s="386">
        <f>92.161565+37.41366</f>
        <v>129.57522499999999</v>
      </c>
      <c r="E105" s="238">
        <f t="shared" si="51"/>
        <v>33.123700281123206</v>
      </c>
      <c r="F105" s="239">
        <f>IFERROR($D$105*F156/100, 0)</f>
        <v>1.3042260226396671</v>
      </c>
      <c r="G105" s="240">
        <f>IFERROR($D$105*G156/100, 0)</f>
        <v>5.914981970661402</v>
      </c>
      <c r="H105" s="241">
        <f>IFERROR($D$105*H156/100, 0)</f>
        <v>25.904492287822137</v>
      </c>
      <c r="I105" s="237">
        <f t="shared" si="28"/>
        <v>96.440492545737058</v>
      </c>
      <c r="J105" s="239">
        <f t="shared" ref="J105:Q105" si="53">IFERROR($D$105*J156/100, 0)</f>
        <v>62.467784973651348</v>
      </c>
      <c r="K105" s="240">
        <f t="shared" si="53"/>
        <v>21.2160141204441</v>
      </c>
      <c r="L105" s="240">
        <f t="shared" si="53"/>
        <v>12.756693451641606</v>
      </c>
      <c r="M105" s="242">
        <f t="shared" si="53"/>
        <v>0</v>
      </c>
      <c r="N105" s="237">
        <f t="shared" si="32"/>
        <v>1.1032173139743258E-2</v>
      </c>
      <c r="O105" s="243">
        <f>IFERROR($D$105*O156/100, 0)</f>
        <v>1.1032173139743258E-2</v>
      </c>
      <c r="P105" s="241">
        <f t="shared" si="53"/>
        <v>0</v>
      </c>
      <c r="Q105" s="237">
        <f t="shared" si="53"/>
        <v>0</v>
      </c>
      <c r="R105" s="130"/>
      <c r="T105" s="130" t="b">
        <v>1</v>
      </c>
      <c r="U105" s="130" t="b">
        <v>1</v>
      </c>
      <c r="V105" s="130" t="b">
        <v>1</v>
      </c>
      <c r="W105" s="130" t="b">
        <v>1</v>
      </c>
      <c r="X105" s="130" t="b">
        <v>1</v>
      </c>
      <c r="Y105" s="130" t="b">
        <v>1</v>
      </c>
      <c r="Z105" s="130" t="b">
        <v>1</v>
      </c>
      <c r="AA105" s="130" t="b">
        <v>1</v>
      </c>
      <c r="AB105" s="130" t="b">
        <v>1</v>
      </c>
      <c r="AC105" s="130" t="b">
        <v>1</v>
      </c>
      <c r="AD105" s="130" t="b">
        <v>1</v>
      </c>
      <c r="AE105" s="130" t="b">
        <v>1</v>
      </c>
      <c r="AF105" s="130" t="b">
        <v>1</v>
      </c>
      <c r="AG105" s="130" t="b">
        <v>1</v>
      </c>
    </row>
    <row r="106" spans="1:33">
      <c r="B106" s="294" t="s">
        <v>416</v>
      </c>
      <c r="C106" s="295" t="s">
        <v>332</v>
      </c>
      <c r="D106" s="1276">
        <f>2.375959</f>
        <v>2.3759589999999999</v>
      </c>
      <c r="E106" s="238">
        <f t="shared" si="51"/>
        <v>0.60737346816289317</v>
      </c>
      <c r="F106" s="239">
        <f>IFERROR($D$106*F157/100, 0)</f>
        <v>2.3914969520793198E-2</v>
      </c>
      <c r="G106" s="240">
        <f>IFERROR($D$106*G157/100, 0)</f>
        <v>0.10846019868405164</v>
      </c>
      <c r="H106" s="241">
        <f>IFERROR($D$106*H157/100, 0)</f>
        <v>0.47499829995804832</v>
      </c>
      <c r="I106" s="237">
        <f t="shared" si="28"/>
        <v>1.7683832401485462</v>
      </c>
      <c r="J106" s="239">
        <f t="shared" ref="J106:Q106" si="54">IFERROR($D$106*J157/100, 0)</f>
        <v>1.1454419308800097</v>
      </c>
      <c r="K106" s="240">
        <f t="shared" si="54"/>
        <v>0.38902791558800109</v>
      </c>
      <c r="L106" s="240">
        <f t="shared" si="54"/>
        <v>0.23391339368053529</v>
      </c>
      <c r="M106" s="242">
        <f t="shared" si="54"/>
        <v>0</v>
      </c>
      <c r="N106" s="237">
        <f t="shared" si="32"/>
        <v>2.0229168856107524E-4</v>
      </c>
      <c r="O106" s="243">
        <f>IFERROR($D$106*O157/100, 0)</f>
        <v>2.0229168856107524E-4</v>
      </c>
      <c r="P106" s="241">
        <f t="shared" si="54"/>
        <v>0</v>
      </c>
      <c r="Q106" s="237">
        <f t="shared" si="54"/>
        <v>0</v>
      </c>
      <c r="R106" s="130"/>
      <c r="T106" s="130" t="b">
        <v>1</v>
      </c>
      <c r="U106" s="130" t="b">
        <v>1</v>
      </c>
      <c r="V106" s="130" t="b">
        <v>1</v>
      </c>
      <c r="W106" s="130" t="b">
        <v>1</v>
      </c>
      <c r="X106" s="130" t="b">
        <v>1</v>
      </c>
      <c r="Y106" s="130" t="b">
        <v>1</v>
      </c>
      <c r="Z106" s="130" t="b">
        <v>1</v>
      </c>
      <c r="AA106" s="130" t="b">
        <v>1</v>
      </c>
      <c r="AB106" s="130" t="b">
        <v>1</v>
      </c>
      <c r="AC106" s="130" t="b">
        <v>1</v>
      </c>
      <c r="AD106" s="130" t="b">
        <v>1</v>
      </c>
      <c r="AE106" s="130" t="b">
        <v>1</v>
      </c>
      <c r="AF106" s="130" t="b">
        <v>1</v>
      </c>
      <c r="AG106" s="130" t="b">
        <v>1</v>
      </c>
    </row>
    <row r="107" spans="1:33">
      <c r="B107" s="294" t="s">
        <v>417</v>
      </c>
      <c r="C107" s="295" t="s">
        <v>334</v>
      </c>
      <c r="D107" s="386">
        <v>0.93596000000000001</v>
      </c>
      <c r="E107" s="238">
        <f t="shared" si="51"/>
        <v>0.23926223948382169</v>
      </c>
      <c r="F107" s="239">
        <f>IFERROR($D$107*F158/100, 0)</f>
        <v>9.4208085546432438E-3</v>
      </c>
      <c r="G107" s="240">
        <f>IFERROR($D$107*G158/100, 0)</f>
        <v>4.2725656276192049E-2</v>
      </c>
      <c r="H107" s="241">
        <f>IFERROR($D$107*H158/100, 0)</f>
        <v>0.1871157746529864</v>
      </c>
      <c r="I107" s="237">
        <f t="shared" si="28"/>
        <v>0.69661807188147318</v>
      </c>
      <c r="J107" s="239">
        <f t="shared" ref="J107:Q107" si="55">IFERROR($D$107*J158/100, 0)</f>
        <v>0.45122320276842059</v>
      </c>
      <c r="K107" s="240">
        <f t="shared" si="55"/>
        <v>0.1532495164578789</v>
      </c>
      <c r="L107" s="240">
        <f t="shared" si="55"/>
        <v>9.2145352655173693E-2</v>
      </c>
      <c r="M107" s="242">
        <f t="shared" si="55"/>
        <v>0</v>
      </c>
      <c r="N107" s="237">
        <f t="shared" si="32"/>
        <v>7.9688634705238589E-5</v>
      </c>
      <c r="O107" s="243">
        <f>IFERROR($D$107*O158/100, 0)</f>
        <v>7.9688634705238589E-5</v>
      </c>
      <c r="P107" s="241">
        <f t="shared" si="55"/>
        <v>0</v>
      </c>
      <c r="Q107" s="237">
        <f t="shared" si="55"/>
        <v>0</v>
      </c>
      <c r="R107" s="130"/>
      <c r="T107" s="130" t="b">
        <v>1</v>
      </c>
      <c r="U107" s="130" t="b">
        <v>1</v>
      </c>
      <c r="V107" s="130" t="b">
        <v>1</v>
      </c>
      <c r="W107" s="130" t="b">
        <v>1</v>
      </c>
      <c r="X107" s="130" t="b">
        <v>1</v>
      </c>
      <c r="Y107" s="130" t="b">
        <v>1</v>
      </c>
      <c r="Z107" s="130" t="b">
        <v>1</v>
      </c>
      <c r="AA107" s="130" t="b">
        <v>1</v>
      </c>
      <c r="AB107" s="130" t="b">
        <v>1</v>
      </c>
      <c r="AC107" s="130" t="b">
        <v>1</v>
      </c>
      <c r="AD107" s="130" t="b">
        <v>1</v>
      </c>
      <c r="AE107" s="130" t="b">
        <v>1</v>
      </c>
      <c r="AF107" s="130" t="b">
        <v>1</v>
      </c>
      <c r="AG107" s="130" t="b">
        <v>1</v>
      </c>
    </row>
    <row r="108" spans="1:33" ht="15" thickBot="1">
      <c r="B108" s="294" t="s">
        <v>418</v>
      </c>
      <c r="C108" s="284" t="s">
        <v>336</v>
      </c>
      <c r="D108" s="389">
        <v>0.42</v>
      </c>
      <c r="E108" s="246">
        <f t="shared" si="51"/>
        <v>0.1073658495910136</v>
      </c>
      <c r="F108" s="247">
        <f>IFERROR($D$108*F159/100, 0)</f>
        <v>4.2274665508677308E-3</v>
      </c>
      <c r="G108" s="248">
        <f>IFERROR($D$108*G159/100, 0)</f>
        <v>1.9172588183256397E-2</v>
      </c>
      <c r="H108" s="249">
        <f>IFERROR($D$108*H159/100, 0)</f>
        <v>8.3965794856889472E-2</v>
      </c>
      <c r="I108" s="245">
        <f t="shared" si="28"/>
        <v>0.31259839116011234</v>
      </c>
      <c r="J108" s="247">
        <f t="shared" ref="J108:Q108" si="56">IFERROR($D$108*J159/100, 0)</f>
        <v>0.20248060297741</v>
      </c>
      <c r="K108" s="248">
        <f t="shared" si="56"/>
        <v>6.8768747502360297E-2</v>
      </c>
      <c r="L108" s="248">
        <f t="shared" si="56"/>
        <v>4.1349040680342057E-2</v>
      </c>
      <c r="M108" s="250">
        <f t="shared" si="56"/>
        <v>0</v>
      </c>
      <c r="N108" s="245">
        <f t="shared" si="32"/>
        <v>3.5759248874097404E-5</v>
      </c>
      <c r="O108" s="251">
        <f>IFERROR($D$108*O159/100, 0)</f>
        <v>3.5759248874097404E-5</v>
      </c>
      <c r="P108" s="249">
        <f t="shared" si="56"/>
        <v>0</v>
      </c>
      <c r="Q108" s="245">
        <f t="shared" si="56"/>
        <v>0</v>
      </c>
      <c r="R108" s="130"/>
      <c r="T108" s="130" t="b">
        <v>1</v>
      </c>
      <c r="U108" s="130" t="b">
        <v>1</v>
      </c>
      <c r="V108" s="130" t="b">
        <v>1</v>
      </c>
      <c r="W108" s="130" t="b">
        <v>1</v>
      </c>
      <c r="X108" s="130" t="b">
        <v>1</v>
      </c>
      <c r="Y108" s="130" t="b">
        <v>1</v>
      </c>
      <c r="Z108" s="130" t="b">
        <v>1</v>
      </c>
      <c r="AA108" s="130" t="b">
        <v>1</v>
      </c>
      <c r="AB108" s="130" t="b">
        <v>1</v>
      </c>
      <c r="AC108" s="130" t="b">
        <v>1</v>
      </c>
      <c r="AD108" s="130" t="b">
        <v>1</v>
      </c>
      <c r="AE108" s="130" t="b">
        <v>1</v>
      </c>
      <c r="AF108" s="130" t="b">
        <v>1</v>
      </c>
      <c r="AG108" s="130" t="b">
        <v>1</v>
      </c>
    </row>
    <row r="109" spans="1:33">
      <c r="B109" s="387" t="s">
        <v>419</v>
      </c>
      <c r="C109" s="272" t="s">
        <v>338</v>
      </c>
      <c r="D109" s="388">
        <f>SUM(D110:D112)</f>
        <v>0</v>
      </c>
      <c r="E109" s="166">
        <f t="shared" si="51"/>
        <v>0</v>
      </c>
      <c r="F109" s="167">
        <f>SUM(F110:F112)</f>
        <v>0</v>
      </c>
      <c r="G109" s="168">
        <f>SUM(G110:G112)</f>
        <v>0</v>
      </c>
      <c r="H109" s="169">
        <f>SUM(H110:H112)</f>
        <v>0</v>
      </c>
      <c r="I109" s="165">
        <f t="shared" si="28"/>
        <v>0</v>
      </c>
      <c r="J109" s="167">
        <f t="shared" ref="J109:Q109" si="57">SUM(J110:J112)</f>
        <v>0</v>
      </c>
      <c r="K109" s="168">
        <f t="shared" si="57"/>
        <v>0</v>
      </c>
      <c r="L109" s="168">
        <f t="shared" si="57"/>
        <v>0</v>
      </c>
      <c r="M109" s="170">
        <f t="shared" si="57"/>
        <v>0</v>
      </c>
      <c r="N109" s="165">
        <f t="shared" si="32"/>
        <v>0</v>
      </c>
      <c r="O109" s="171">
        <f>SUM(O110:O112)</f>
        <v>0</v>
      </c>
      <c r="P109" s="169">
        <f t="shared" si="57"/>
        <v>0</v>
      </c>
      <c r="Q109" s="165">
        <f t="shared" si="57"/>
        <v>0</v>
      </c>
      <c r="R109" s="130"/>
      <c r="T109" s="130" t="b">
        <v>1</v>
      </c>
      <c r="U109" s="130" t="b">
        <v>1</v>
      </c>
      <c r="V109" s="130" t="b">
        <v>1</v>
      </c>
      <c r="W109" s="130" t="b">
        <v>1</v>
      </c>
      <c r="X109" s="130" t="b">
        <v>1</v>
      </c>
      <c r="Y109" s="130" t="b">
        <v>1</v>
      </c>
      <c r="Z109" s="130" t="b">
        <v>1</v>
      </c>
      <c r="AA109" s="130" t="b">
        <v>1</v>
      </c>
      <c r="AB109" s="130" t="b">
        <v>1</v>
      </c>
      <c r="AC109" s="130" t="b">
        <v>1</v>
      </c>
      <c r="AD109" s="130" t="b">
        <v>1</v>
      </c>
      <c r="AE109" s="130" t="b">
        <v>1</v>
      </c>
      <c r="AF109" s="130" t="b">
        <v>1</v>
      </c>
      <c r="AG109" s="130" t="b">
        <v>1</v>
      </c>
    </row>
    <row r="110" spans="1:33">
      <c r="B110" s="294" t="s">
        <v>420</v>
      </c>
      <c r="C110" s="295" t="s">
        <v>344</v>
      </c>
      <c r="D110" s="386">
        <v>0</v>
      </c>
      <c r="E110" s="238">
        <f t="shared" si="51"/>
        <v>0</v>
      </c>
      <c r="F110" s="239">
        <f>IFERROR($D$110*F161/100, 0)</f>
        <v>0</v>
      </c>
      <c r="G110" s="240">
        <f>IFERROR($D$110*G161/100, 0)</f>
        <v>0</v>
      </c>
      <c r="H110" s="241">
        <f>IFERROR($D$110*H161/100, 0)</f>
        <v>0</v>
      </c>
      <c r="I110" s="237">
        <f t="shared" si="28"/>
        <v>0</v>
      </c>
      <c r="J110" s="239">
        <f t="shared" ref="J110:Q110" si="58">IFERROR($D$110*J161/100, 0)</f>
        <v>0</v>
      </c>
      <c r="K110" s="240">
        <f t="shared" si="58"/>
        <v>0</v>
      </c>
      <c r="L110" s="240">
        <f t="shared" si="58"/>
        <v>0</v>
      </c>
      <c r="M110" s="242">
        <f t="shared" si="58"/>
        <v>0</v>
      </c>
      <c r="N110" s="237">
        <f t="shared" si="32"/>
        <v>0</v>
      </c>
      <c r="O110" s="243">
        <f>IFERROR($D$110*O161/100, 0)</f>
        <v>0</v>
      </c>
      <c r="P110" s="241">
        <f t="shared" si="58"/>
        <v>0</v>
      </c>
      <c r="Q110" s="237">
        <f t="shared" si="58"/>
        <v>0</v>
      </c>
      <c r="R110" s="130"/>
      <c r="T110" s="130" t="b">
        <v>1</v>
      </c>
      <c r="U110" s="130" t="b">
        <v>1</v>
      </c>
      <c r="V110" s="130" t="b">
        <v>1</v>
      </c>
      <c r="W110" s="130" t="b">
        <v>1</v>
      </c>
      <c r="X110" s="130" t="b">
        <v>1</v>
      </c>
      <c r="Y110" s="130" t="b">
        <v>1</v>
      </c>
      <c r="Z110" s="130" t="b">
        <v>1</v>
      </c>
      <c r="AA110" s="130" t="b">
        <v>1</v>
      </c>
      <c r="AB110" s="130" t="b">
        <v>1</v>
      </c>
      <c r="AC110" s="130" t="b">
        <v>1</v>
      </c>
      <c r="AD110" s="130" t="b">
        <v>1</v>
      </c>
      <c r="AE110" s="130" t="b">
        <v>1</v>
      </c>
      <c r="AF110" s="130" t="b">
        <v>1</v>
      </c>
      <c r="AG110" s="130" t="b">
        <v>1</v>
      </c>
    </row>
    <row r="111" spans="1:33" s="130" customFormat="1">
      <c r="A111" s="131"/>
      <c r="B111" s="307" t="s">
        <v>421</v>
      </c>
      <c r="C111" s="295" t="s">
        <v>346</v>
      </c>
      <c r="D111" s="390">
        <v>0</v>
      </c>
      <c r="E111" s="300">
        <f t="shared" si="51"/>
        <v>0</v>
      </c>
      <c r="F111" s="391">
        <f>IFERROR($D$111*F162/100, 0)</f>
        <v>0</v>
      </c>
      <c r="G111" s="392">
        <f>IFERROR($D$111*G162/100, 0)</f>
        <v>0</v>
      </c>
      <c r="H111" s="393">
        <f>IFERROR($D$111*H162/100, 0)</f>
        <v>0</v>
      </c>
      <c r="I111" s="304">
        <f t="shared" si="28"/>
        <v>0</v>
      </c>
      <c r="J111" s="391">
        <f t="shared" ref="J111:Q111" si="59">IFERROR($D$111*J162/100, 0)</f>
        <v>0</v>
      </c>
      <c r="K111" s="392">
        <f t="shared" si="59"/>
        <v>0</v>
      </c>
      <c r="L111" s="392">
        <f t="shared" si="59"/>
        <v>0</v>
      </c>
      <c r="M111" s="394">
        <f t="shared" si="59"/>
        <v>0</v>
      </c>
      <c r="N111" s="304">
        <f t="shared" si="32"/>
        <v>0</v>
      </c>
      <c r="O111" s="395">
        <f>IFERROR($D$111*O162/100, 0)</f>
        <v>0</v>
      </c>
      <c r="P111" s="393">
        <f t="shared" si="59"/>
        <v>0</v>
      </c>
      <c r="Q111" s="304">
        <f t="shared" si="59"/>
        <v>0</v>
      </c>
      <c r="S111" s="131"/>
      <c r="T111" s="130" t="b">
        <v>1</v>
      </c>
      <c r="U111" s="130" t="b">
        <v>1</v>
      </c>
      <c r="V111" s="130" t="b">
        <v>1</v>
      </c>
      <c r="W111" s="130" t="b">
        <v>1</v>
      </c>
      <c r="X111" s="130" t="b">
        <v>1</v>
      </c>
      <c r="Y111" s="130" t="b">
        <v>1</v>
      </c>
      <c r="Z111" s="130" t="b">
        <v>1</v>
      </c>
      <c r="AA111" s="130" t="b">
        <v>1</v>
      </c>
      <c r="AB111" s="130" t="b">
        <v>1</v>
      </c>
      <c r="AC111" s="130" t="b">
        <v>1</v>
      </c>
      <c r="AD111" s="130" t="b">
        <v>1</v>
      </c>
      <c r="AE111" s="130" t="b">
        <v>1</v>
      </c>
      <c r="AF111" s="130" t="b">
        <v>1</v>
      </c>
      <c r="AG111" s="130" t="b">
        <v>1</v>
      </c>
    </row>
    <row r="112" spans="1:33" ht="15" thickBot="1">
      <c r="B112" s="307" t="s">
        <v>422</v>
      </c>
      <c r="C112" s="308" t="s">
        <v>348</v>
      </c>
      <c r="D112" s="389">
        <v>0</v>
      </c>
      <c r="E112" s="246">
        <f t="shared" si="51"/>
        <v>0</v>
      </c>
      <c r="F112" s="247">
        <f>IFERROR($D$112*F163/100, 0)</f>
        <v>0</v>
      </c>
      <c r="G112" s="248">
        <f>IFERROR($D$112*G163/100, 0)</f>
        <v>0</v>
      </c>
      <c r="H112" s="249">
        <f>IFERROR($D$112*H163/100, 0)</f>
        <v>0</v>
      </c>
      <c r="I112" s="245">
        <f t="shared" si="28"/>
        <v>0</v>
      </c>
      <c r="J112" s="247">
        <f t="shared" ref="J112:Q112" si="60">IFERROR($D$112*J163/100, 0)</f>
        <v>0</v>
      </c>
      <c r="K112" s="248">
        <f t="shared" si="60"/>
        <v>0</v>
      </c>
      <c r="L112" s="248">
        <f t="shared" si="60"/>
        <v>0</v>
      </c>
      <c r="M112" s="250">
        <f t="shared" si="60"/>
        <v>0</v>
      </c>
      <c r="N112" s="245">
        <f t="shared" si="32"/>
        <v>0</v>
      </c>
      <c r="O112" s="243">
        <f>IFERROR($D$112*O163/100, 0)</f>
        <v>0</v>
      </c>
      <c r="P112" s="249">
        <f t="shared" si="60"/>
        <v>0</v>
      </c>
      <c r="Q112" s="245">
        <f t="shared" si="60"/>
        <v>0</v>
      </c>
      <c r="R112" s="130"/>
      <c r="T112" s="130" t="b">
        <v>1</v>
      </c>
      <c r="U112" s="130" t="b">
        <v>1</v>
      </c>
      <c r="V112" s="130" t="b">
        <v>1</v>
      </c>
      <c r="W112" s="130" t="b">
        <v>1</v>
      </c>
      <c r="X112" s="130" t="b">
        <v>1</v>
      </c>
      <c r="Y112" s="130" t="b">
        <v>1</v>
      </c>
      <c r="Z112" s="130" t="b">
        <v>1</v>
      </c>
      <c r="AA112" s="130" t="b">
        <v>1</v>
      </c>
      <c r="AB112" s="130" t="b">
        <v>1</v>
      </c>
      <c r="AC112" s="130" t="b">
        <v>1</v>
      </c>
      <c r="AD112" s="130" t="b">
        <v>1</v>
      </c>
      <c r="AE112" s="130" t="b">
        <v>1</v>
      </c>
      <c r="AF112" s="130" t="b">
        <v>1</v>
      </c>
      <c r="AG112" s="130" t="b">
        <v>1</v>
      </c>
    </row>
    <row r="113" spans="2:33">
      <c r="B113" s="387" t="s">
        <v>423</v>
      </c>
      <c r="C113" s="272" t="s">
        <v>350</v>
      </c>
      <c r="D113" s="388">
        <f>SUM(D114:D115)</f>
        <v>0</v>
      </c>
      <c r="E113" s="166">
        <f t="shared" si="51"/>
        <v>0</v>
      </c>
      <c r="F113" s="167">
        <f>F114+F115</f>
        <v>0</v>
      </c>
      <c r="G113" s="168">
        <f>G114+G115</f>
        <v>0</v>
      </c>
      <c r="H113" s="169">
        <f>H114+H115</f>
        <v>0</v>
      </c>
      <c r="I113" s="165">
        <f t="shared" si="28"/>
        <v>0</v>
      </c>
      <c r="J113" s="167">
        <f t="shared" ref="J113:Q113" si="61">J114+J115</f>
        <v>0</v>
      </c>
      <c r="K113" s="168">
        <f t="shared" si="61"/>
        <v>0</v>
      </c>
      <c r="L113" s="168">
        <f t="shared" si="61"/>
        <v>0</v>
      </c>
      <c r="M113" s="170">
        <f t="shared" si="61"/>
        <v>0</v>
      </c>
      <c r="N113" s="165">
        <f t="shared" si="32"/>
        <v>0</v>
      </c>
      <c r="O113" s="171">
        <f>O114+O115</f>
        <v>0</v>
      </c>
      <c r="P113" s="169">
        <f t="shared" si="61"/>
        <v>0</v>
      </c>
      <c r="Q113" s="165">
        <f t="shared" si="61"/>
        <v>0</v>
      </c>
      <c r="R113" s="130"/>
      <c r="T113" s="130" t="b">
        <v>1</v>
      </c>
      <c r="U113" s="130" t="b">
        <v>1</v>
      </c>
      <c r="V113" s="130" t="b">
        <v>1</v>
      </c>
      <c r="W113" s="130" t="b">
        <v>1</v>
      </c>
      <c r="X113" s="130" t="b">
        <v>1</v>
      </c>
      <c r="Y113" s="130" t="b">
        <v>1</v>
      </c>
      <c r="Z113" s="130" t="b">
        <v>1</v>
      </c>
      <c r="AA113" s="130" t="b">
        <v>1</v>
      </c>
      <c r="AB113" s="130" t="b">
        <v>1</v>
      </c>
      <c r="AC113" s="130" t="b">
        <v>1</v>
      </c>
      <c r="AD113" s="130" t="b">
        <v>1</v>
      </c>
      <c r="AE113" s="130" t="b">
        <v>1</v>
      </c>
      <c r="AF113" s="130" t="b">
        <v>1</v>
      </c>
      <c r="AG113" s="130" t="b">
        <v>1</v>
      </c>
    </row>
    <row r="114" spans="2:33">
      <c r="B114" s="294" t="s">
        <v>424</v>
      </c>
      <c r="C114" s="293" t="s">
        <v>352</v>
      </c>
      <c r="D114" s="396">
        <v>0</v>
      </c>
      <c r="E114" s="238">
        <f t="shared" si="51"/>
        <v>0</v>
      </c>
      <c r="F114" s="239">
        <f>IFERROR($D$114*F165/100, 0)</f>
        <v>0</v>
      </c>
      <c r="G114" s="240">
        <f>IFERROR($D$114*G165/100, 0)</f>
        <v>0</v>
      </c>
      <c r="H114" s="241">
        <f>IFERROR($D$114*H165/100, 0)</f>
        <v>0</v>
      </c>
      <c r="I114" s="237">
        <f t="shared" si="28"/>
        <v>0</v>
      </c>
      <c r="J114" s="239">
        <f t="shared" ref="J114:Q114" si="62">IFERROR($D$114*J165/100, 0)</f>
        <v>0</v>
      </c>
      <c r="K114" s="240">
        <f t="shared" si="62"/>
        <v>0</v>
      </c>
      <c r="L114" s="240">
        <f t="shared" si="62"/>
        <v>0</v>
      </c>
      <c r="M114" s="242">
        <f t="shared" si="62"/>
        <v>0</v>
      </c>
      <c r="N114" s="237">
        <f t="shared" si="32"/>
        <v>0</v>
      </c>
      <c r="O114" s="243">
        <f>IFERROR($D$114*O165/100, 0)</f>
        <v>0</v>
      </c>
      <c r="P114" s="241">
        <f t="shared" si="62"/>
        <v>0</v>
      </c>
      <c r="Q114" s="237">
        <f t="shared" si="62"/>
        <v>0</v>
      </c>
      <c r="R114" s="130"/>
      <c r="T114" s="130" t="b">
        <v>1</v>
      </c>
      <c r="U114" s="130" t="b">
        <v>1</v>
      </c>
      <c r="V114" s="130" t="b">
        <v>1</v>
      </c>
      <c r="W114" s="130" t="b">
        <v>1</v>
      </c>
      <c r="X114" s="130" t="b">
        <v>1</v>
      </c>
      <c r="Y114" s="130" t="b">
        <v>1</v>
      </c>
      <c r="Z114" s="130" t="b">
        <v>1</v>
      </c>
      <c r="AA114" s="130" t="b">
        <v>1</v>
      </c>
      <c r="AB114" s="130" t="b">
        <v>1</v>
      </c>
      <c r="AC114" s="130" t="b">
        <v>1</v>
      </c>
      <c r="AD114" s="130" t="b">
        <v>1</v>
      </c>
      <c r="AE114" s="130" t="b">
        <v>1</v>
      </c>
      <c r="AF114" s="130" t="b">
        <v>1</v>
      </c>
      <c r="AG114" s="130" t="b">
        <v>1</v>
      </c>
    </row>
    <row r="115" spans="2:33" ht="15" thickBot="1">
      <c r="B115" s="307" t="s">
        <v>425</v>
      </c>
      <c r="C115" s="284" t="s">
        <v>354</v>
      </c>
      <c r="D115" s="397">
        <v>0</v>
      </c>
      <c r="E115" s="246">
        <f t="shared" si="51"/>
        <v>0</v>
      </c>
      <c r="F115" s="247">
        <f>IFERROR($D$115*F166/100, 0)</f>
        <v>0</v>
      </c>
      <c r="G115" s="248">
        <f>IFERROR($D$115*G166/100, 0)</f>
        <v>0</v>
      </c>
      <c r="H115" s="249">
        <f>IFERROR($D$115*H166/100, 0)</f>
        <v>0</v>
      </c>
      <c r="I115" s="245">
        <f t="shared" si="28"/>
        <v>0</v>
      </c>
      <c r="J115" s="247">
        <f t="shared" ref="J115:Q115" si="63">IFERROR($D$115*J166/100, 0)</f>
        <v>0</v>
      </c>
      <c r="K115" s="248">
        <f t="shared" si="63"/>
        <v>0</v>
      </c>
      <c r="L115" s="248">
        <f t="shared" si="63"/>
        <v>0</v>
      </c>
      <c r="M115" s="250">
        <f t="shared" si="63"/>
        <v>0</v>
      </c>
      <c r="N115" s="245">
        <f t="shared" si="32"/>
        <v>0</v>
      </c>
      <c r="O115" s="251">
        <f>IFERROR($D$115*O166/100, 0)</f>
        <v>0</v>
      </c>
      <c r="P115" s="249">
        <f t="shared" si="63"/>
        <v>0</v>
      </c>
      <c r="Q115" s="245">
        <f t="shared" si="63"/>
        <v>0</v>
      </c>
      <c r="R115" s="130"/>
      <c r="T115" s="130" t="b">
        <v>1</v>
      </c>
      <c r="U115" s="130" t="b">
        <v>1</v>
      </c>
      <c r="V115" s="130" t="b">
        <v>1</v>
      </c>
      <c r="W115" s="130" t="b">
        <v>1</v>
      </c>
      <c r="X115" s="130" t="b">
        <v>1</v>
      </c>
      <c r="Y115" s="130" t="b">
        <v>1</v>
      </c>
      <c r="Z115" s="130" t="b">
        <v>1</v>
      </c>
      <c r="AA115" s="130" t="b">
        <v>1</v>
      </c>
      <c r="AB115" s="130" t="b">
        <v>1</v>
      </c>
      <c r="AC115" s="130" t="b">
        <v>1</v>
      </c>
      <c r="AD115" s="130" t="b">
        <v>1</v>
      </c>
      <c r="AE115" s="130" t="b">
        <v>1</v>
      </c>
      <c r="AF115" s="130" t="b">
        <v>1</v>
      </c>
      <c r="AG115" s="130" t="b">
        <v>1</v>
      </c>
    </row>
    <row r="116" spans="2:33">
      <c r="B116" s="387" t="s">
        <v>426</v>
      </c>
      <c r="C116" s="272" t="s">
        <v>356</v>
      </c>
      <c r="D116" s="388">
        <f>SUM(D117:D130)</f>
        <v>4.7421499999999988</v>
      </c>
      <c r="E116" s="166">
        <f t="shared" si="51"/>
        <v>1.2122499134238696</v>
      </c>
      <c r="F116" s="167">
        <f>SUM(F117:F130)</f>
        <v>4.7731620248089073E-2</v>
      </c>
      <c r="G116" s="168">
        <f t="shared" ref="G116:Q116" si="64">SUM(G117:G130)</f>
        <v>0.21647449774578414</v>
      </c>
      <c r="H116" s="169">
        <f t="shared" si="64"/>
        <v>0.94804379542999628</v>
      </c>
      <c r="I116" s="165">
        <f t="shared" si="28"/>
        <v>3.5294963348569683</v>
      </c>
      <c r="J116" s="167">
        <f t="shared" si="64"/>
        <v>2.2861747414507732</v>
      </c>
      <c r="K116" s="168">
        <f t="shared" si="64"/>
        <v>0.77645646659123302</v>
      </c>
      <c r="L116" s="168">
        <f t="shared" si="64"/>
        <v>0.46686512681496201</v>
      </c>
      <c r="M116" s="170">
        <f t="shared" si="64"/>
        <v>0</v>
      </c>
      <c r="N116" s="165">
        <f t="shared" si="32"/>
        <v>4.0375171916262148E-4</v>
      </c>
      <c r="O116" s="171">
        <f>SUM(O117:O130)</f>
        <v>4.0375171916262148E-4</v>
      </c>
      <c r="P116" s="169">
        <f t="shared" si="64"/>
        <v>0</v>
      </c>
      <c r="Q116" s="165">
        <f t="shared" si="64"/>
        <v>0</v>
      </c>
      <c r="R116" s="130"/>
      <c r="T116" s="130" t="b">
        <v>1</v>
      </c>
      <c r="U116" s="130" t="b">
        <v>1</v>
      </c>
      <c r="V116" s="130" t="b">
        <v>1</v>
      </c>
      <c r="W116" s="130" t="b">
        <v>1</v>
      </c>
      <c r="X116" s="130" t="b">
        <v>1</v>
      </c>
      <c r="Y116" s="130" t="b">
        <v>1</v>
      </c>
      <c r="Z116" s="130" t="b">
        <v>1</v>
      </c>
      <c r="AA116" s="130" t="b">
        <v>1</v>
      </c>
      <c r="AB116" s="130" t="b">
        <v>1</v>
      </c>
      <c r="AC116" s="130" t="b">
        <v>1</v>
      </c>
      <c r="AD116" s="130" t="b">
        <v>1</v>
      </c>
      <c r="AE116" s="130" t="b">
        <v>1</v>
      </c>
      <c r="AF116" s="130" t="b">
        <v>1</v>
      </c>
      <c r="AG116" s="130" t="b">
        <v>1</v>
      </c>
    </row>
    <row r="117" spans="2:33">
      <c r="B117" s="294" t="s">
        <v>427</v>
      </c>
      <c r="C117" s="293" t="s">
        <v>358</v>
      </c>
      <c r="D117" s="386">
        <v>0</v>
      </c>
      <c r="E117" s="238">
        <f t="shared" si="51"/>
        <v>0</v>
      </c>
      <c r="F117" s="239">
        <f>IFERROR($D$117*F168/100, 0)</f>
        <v>0</v>
      </c>
      <c r="G117" s="240">
        <f>IFERROR($D$117*G168/100, 0)</f>
        <v>0</v>
      </c>
      <c r="H117" s="241">
        <f>IFERROR($D$117*H168/100, 0)</f>
        <v>0</v>
      </c>
      <c r="I117" s="237">
        <f t="shared" si="28"/>
        <v>0</v>
      </c>
      <c r="J117" s="239">
        <f t="shared" ref="J117:Q117" si="65">IFERROR($D$117*J168/100, 0)</f>
        <v>0</v>
      </c>
      <c r="K117" s="240">
        <f t="shared" si="65"/>
        <v>0</v>
      </c>
      <c r="L117" s="240">
        <f t="shared" si="65"/>
        <v>0</v>
      </c>
      <c r="M117" s="242">
        <f t="shared" si="65"/>
        <v>0</v>
      </c>
      <c r="N117" s="237">
        <f t="shared" si="32"/>
        <v>0</v>
      </c>
      <c r="O117" s="243">
        <f>IFERROR($D$117*O168/100, 0)</f>
        <v>0</v>
      </c>
      <c r="P117" s="241">
        <f t="shared" si="65"/>
        <v>0</v>
      </c>
      <c r="Q117" s="237">
        <f t="shared" si="65"/>
        <v>0</v>
      </c>
      <c r="R117" s="130"/>
      <c r="T117" s="130" t="b">
        <v>1</v>
      </c>
      <c r="U117" s="130" t="b">
        <v>1</v>
      </c>
      <c r="V117" s="130" t="b">
        <v>1</v>
      </c>
      <c r="W117" s="130" t="b">
        <v>1</v>
      </c>
      <c r="X117" s="130" t="b">
        <v>1</v>
      </c>
      <c r="Y117" s="130" t="b">
        <v>1</v>
      </c>
      <c r="Z117" s="130" t="b">
        <v>1</v>
      </c>
      <c r="AA117" s="130" t="b">
        <v>1</v>
      </c>
      <c r="AB117" s="130" t="b">
        <v>1</v>
      </c>
      <c r="AC117" s="130" t="b">
        <v>1</v>
      </c>
      <c r="AD117" s="130" t="b">
        <v>1</v>
      </c>
      <c r="AE117" s="130" t="b">
        <v>1</v>
      </c>
      <c r="AF117" s="130" t="b">
        <v>1</v>
      </c>
      <c r="AG117" s="130" t="b">
        <v>1</v>
      </c>
    </row>
    <row r="118" spans="2:33">
      <c r="B118" s="294" t="s">
        <v>428</v>
      </c>
      <c r="C118" s="293" t="s">
        <v>360</v>
      </c>
      <c r="D118" s="386">
        <v>0</v>
      </c>
      <c r="E118" s="238">
        <f t="shared" si="51"/>
        <v>0</v>
      </c>
      <c r="F118" s="239">
        <f>IFERROR($D$118*F169/100, 0)</f>
        <v>0</v>
      </c>
      <c r="G118" s="240">
        <f>IFERROR($D$118*G169/100, 0)</f>
        <v>0</v>
      </c>
      <c r="H118" s="241">
        <f>IFERROR($D$118*H169/100, 0)</f>
        <v>0</v>
      </c>
      <c r="I118" s="237">
        <f t="shared" si="28"/>
        <v>0</v>
      </c>
      <c r="J118" s="239">
        <f t="shared" ref="J118:Q118" si="66">IFERROR($D$118*J169/100, 0)</f>
        <v>0</v>
      </c>
      <c r="K118" s="240">
        <f t="shared" si="66"/>
        <v>0</v>
      </c>
      <c r="L118" s="240">
        <f t="shared" si="66"/>
        <v>0</v>
      </c>
      <c r="M118" s="242">
        <f t="shared" si="66"/>
        <v>0</v>
      </c>
      <c r="N118" s="237">
        <f t="shared" si="32"/>
        <v>0</v>
      </c>
      <c r="O118" s="243">
        <f>IFERROR($D$118*O169/100, 0)</f>
        <v>0</v>
      </c>
      <c r="P118" s="241">
        <f t="shared" si="66"/>
        <v>0</v>
      </c>
      <c r="Q118" s="237">
        <f t="shared" si="66"/>
        <v>0</v>
      </c>
      <c r="R118" s="130"/>
      <c r="T118" s="130" t="b">
        <v>1</v>
      </c>
      <c r="U118" s="130" t="b">
        <v>1</v>
      </c>
      <c r="V118" s="130" t="b">
        <v>1</v>
      </c>
      <c r="W118" s="130" t="b">
        <v>1</v>
      </c>
      <c r="X118" s="130" t="b">
        <v>1</v>
      </c>
      <c r="Y118" s="130" t="b">
        <v>1</v>
      </c>
      <c r="Z118" s="130" t="b">
        <v>1</v>
      </c>
      <c r="AA118" s="130" t="b">
        <v>1</v>
      </c>
      <c r="AB118" s="130" t="b">
        <v>1</v>
      </c>
      <c r="AC118" s="130" t="b">
        <v>1</v>
      </c>
      <c r="AD118" s="130" t="b">
        <v>1</v>
      </c>
      <c r="AE118" s="130" t="b">
        <v>1</v>
      </c>
      <c r="AF118" s="130" t="b">
        <v>1</v>
      </c>
      <c r="AG118" s="130" t="b">
        <v>1</v>
      </c>
    </row>
    <row r="119" spans="2:33">
      <c r="B119" s="294" t="s">
        <v>429</v>
      </c>
      <c r="C119" s="293" t="s">
        <v>362</v>
      </c>
      <c r="D119" s="386">
        <v>0</v>
      </c>
      <c r="E119" s="238">
        <f t="shared" si="51"/>
        <v>0</v>
      </c>
      <c r="F119" s="239">
        <f>IFERROR($D$119*F170/100, 0)</f>
        <v>0</v>
      </c>
      <c r="G119" s="240">
        <f>IFERROR($D$119*G170/100, 0)</f>
        <v>0</v>
      </c>
      <c r="H119" s="241">
        <f>IFERROR($D$119*H170/100, 0)</f>
        <v>0</v>
      </c>
      <c r="I119" s="237">
        <f t="shared" ref="I119:I138" si="67">SUM(J119:L119)</f>
        <v>0</v>
      </c>
      <c r="J119" s="239">
        <f t="shared" ref="J119:Q119" si="68">IFERROR($D$119*J170/100, 0)</f>
        <v>0</v>
      </c>
      <c r="K119" s="240">
        <f t="shared" si="68"/>
        <v>0</v>
      </c>
      <c r="L119" s="240">
        <f t="shared" si="68"/>
        <v>0</v>
      </c>
      <c r="M119" s="242">
        <f t="shared" si="68"/>
        <v>0</v>
      </c>
      <c r="N119" s="237">
        <f t="shared" si="32"/>
        <v>0</v>
      </c>
      <c r="O119" s="243">
        <f>IFERROR($D$119*O170/100, 0)</f>
        <v>0</v>
      </c>
      <c r="P119" s="241">
        <f t="shared" si="68"/>
        <v>0</v>
      </c>
      <c r="Q119" s="237">
        <f t="shared" si="68"/>
        <v>0</v>
      </c>
      <c r="R119" s="130"/>
      <c r="T119" s="130" t="b">
        <v>1</v>
      </c>
      <c r="U119" s="130" t="b">
        <v>1</v>
      </c>
      <c r="V119" s="130" t="b">
        <v>1</v>
      </c>
      <c r="W119" s="130" t="b">
        <v>1</v>
      </c>
      <c r="X119" s="130" t="b">
        <v>1</v>
      </c>
      <c r="Y119" s="130" t="b">
        <v>1</v>
      </c>
      <c r="Z119" s="130" t="b">
        <v>1</v>
      </c>
      <c r="AA119" s="130" t="b">
        <v>1</v>
      </c>
      <c r="AB119" s="130" t="b">
        <v>1</v>
      </c>
      <c r="AC119" s="130" t="b">
        <v>1</v>
      </c>
      <c r="AD119" s="130" t="b">
        <v>1</v>
      </c>
      <c r="AE119" s="130" t="b">
        <v>1</v>
      </c>
      <c r="AF119" s="130" t="b">
        <v>1</v>
      </c>
      <c r="AG119" s="130" t="b">
        <v>1</v>
      </c>
    </row>
    <row r="120" spans="2:33">
      <c r="B120" s="294" t="s">
        <v>430</v>
      </c>
      <c r="C120" s="293" t="s">
        <v>364</v>
      </c>
      <c r="D120" s="386">
        <v>0</v>
      </c>
      <c r="E120" s="238">
        <f t="shared" si="51"/>
        <v>0</v>
      </c>
      <c r="F120" s="239">
        <f>IFERROR($D$120*F171/100, 0)</f>
        <v>0</v>
      </c>
      <c r="G120" s="240">
        <f>IFERROR($D$120*G171/100, 0)</f>
        <v>0</v>
      </c>
      <c r="H120" s="241">
        <f>IFERROR($D$120*H171/100, 0)</f>
        <v>0</v>
      </c>
      <c r="I120" s="237">
        <f t="shared" si="67"/>
        <v>0</v>
      </c>
      <c r="J120" s="239">
        <f t="shared" ref="J120:Q120" si="69">IFERROR($D$120*J171/100, 0)</f>
        <v>0</v>
      </c>
      <c r="K120" s="240">
        <f t="shared" si="69"/>
        <v>0</v>
      </c>
      <c r="L120" s="240">
        <f t="shared" si="69"/>
        <v>0</v>
      </c>
      <c r="M120" s="242">
        <f t="shared" si="69"/>
        <v>0</v>
      </c>
      <c r="N120" s="237">
        <f t="shared" si="32"/>
        <v>0</v>
      </c>
      <c r="O120" s="243">
        <f>IFERROR($D$120*O171/100, 0)</f>
        <v>0</v>
      </c>
      <c r="P120" s="241">
        <f t="shared" si="69"/>
        <v>0</v>
      </c>
      <c r="Q120" s="237">
        <f t="shared" si="69"/>
        <v>0</v>
      </c>
      <c r="R120" s="130"/>
      <c r="T120" s="130" t="b">
        <v>1</v>
      </c>
      <c r="U120" s="130" t="b">
        <v>1</v>
      </c>
      <c r="V120" s="130" t="b">
        <v>1</v>
      </c>
      <c r="W120" s="130" t="b">
        <v>1</v>
      </c>
      <c r="X120" s="130" t="b">
        <v>1</v>
      </c>
      <c r="Y120" s="130" t="b">
        <v>1</v>
      </c>
      <c r="Z120" s="130" t="b">
        <v>1</v>
      </c>
      <c r="AA120" s="130" t="b">
        <v>1</v>
      </c>
      <c r="AB120" s="130" t="b">
        <v>1</v>
      </c>
      <c r="AC120" s="130" t="b">
        <v>1</v>
      </c>
      <c r="AD120" s="130" t="b">
        <v>1</v>
      </c>
      <c r="AE120" s="130" t="b">
        <v>1</v>
      </c>
      <c r="AF120" s="130" t="b">
        <v>1</v>
      </c>
      <c r="AG120" s="130" t="b">
        <v>1</v>
      </c>
    </row>
    <row r="121" spans="2:33">
      <c r="B121" s="294" t="s">
        <v>431</v>
      </c>
      <c r="C121" s="293" t="s">
        <v>366</v>
      </c>
      <c r="D121" s="386">
        <v>0.47306999999999999</v>
      </c>
      <c r="E121" s="238">
        <f t="shared" si="51"/>
        <v>0.12093229158576384</v>
      </c>
      <c r="F121" s="239">
        <f>IFERROR($D$121*F172/100, 0)</f>
        <v>4.7616371457595182E-3</v>
      </c>
      <c r="G121" s="240">
        <f>IFERROR($D$121*G172/100, 0)</f>
        <v>2.1595181647269299E-2</v>
      </c>
      <c r="H121" s="241">
        <f>IFERROR($D$121*H172/100, 0)</f>
        <v>9.4575472792735024E-2</v>
      </c>
      <c r="I121" s="237">
        <f t="shared" si="67"/>
        <v>0.3520974307288437</v>
      </c>
      <c r="J121" s="239">
        <f t="shared" ref="J121:Q121" si="70">IFERROR($D$121*J172/100, 0)</f>
        <v>0.22806547345362702</v>
      </c>
      <c r="K121" s="240">
        <f t="shared" si="70"/>
        <v>7.7458169954622819E-2</v>
      </c>
      <c r="L121" s="240">
        <f t="shared" si="70"/>
        <v>4.6573787320593842E-2</v>
      </c>
      <c r="M121" s="242">
        <f t="shared" si="70"/>
        <v>0</v>
      </c>
      <c r="N121" s="237">
        <f t="shared" si="32"/>
        <v>4.0277685392545854E-5</v>
      </c>
      <c r="O121" s="243">
        <f>IFERROR($D$121*O172/100, 0)</f>
        <v>4.0277685392545854E-5</v>
      </c>
      <c r="P121" s="241">
        <f t="shared" si="70"/>
        <v>0</v>
      </c>
      <c r="Q121" s="237">
        <f t="shared" si="70"/>
        <v>0</v>
      </c>
      <c r="R121" s="130"/>
      <c r="T121" s="130" t="b">
        <v>1</v>
      </c>
      <c r="U121" s="130" t="b">
        <v>1</v>
      </c>
      <c r="V121" s="130" t="b">
        <v>1</v>
      </c>
      <c r="W121" s="130" t="b">
        <v>1</v>
      </c>
      <c r="X121" s="130" t="b">
        <v>1</v>
      </c>
      <c r="Y121" s="130" t="b">
        <v>1</v>
      </c>
      <c r="Z121" s="130" t="b">
        <v>1</v>
      </c>
      <c r="AA121" s="130" t="b">
        <v>1</v>
      </c>
      <c r="AB121" s="130" t="b">
        <v>1</v>
      </c>
      <c r="AC121" s="130" t="b">
        <v>1</v>
      </c>
      <c r="AD121" s="130" t="b">
        <v>1</v>
      </c>
      <c r="AE121" s="130" t="b">
        <v>1</v>
      </c>
      <c r="AF121" s="130" t="b">
        <v>1</v>
      </c>
      <c r="AG121" s="130" t="b">
        <v>1</v>
      </c>
    </row>
    <row r="122" spans="2:33">
      <c r="B122" s="294" t="s">
        <v>432</v>
      </c>
      <c r="C122" s="293" t="s">
        <v>368</v>
      </c>
      <c r="D122" s="396">
        <v>0</v>
      </c>
      <c r="E122" s="238">
        <f t="shared" si="51"/>
        <v>0</v>
      </c>
      <c r="F122" s="239">
        <f>IFERROR($D$122*F173/100, 0)</f>
        <v>0</v>
      </c>
      <c r="G122" s="240">
        <f>IFERROR($D$122*G173/100, 0)</f>
        <v>0</v>
      </c>
      <c r="H122" s="241">
        <f>IFERROR($D$122*H173/100, 0)</f>
        <v>0</v>
      </c>
      <c r="I122" s="237">
        <f t="shared" si="67"/>
        <v>0</v>
      </c>
      <c r="J122" s="239">
        <f t="shared" ref="J122:Q122" si="71">IFERROR($D$122*J173/100, 0)</f>
        <v>0</v>
      </c>
      <c r="K122" s="240">
        <f t="shared" si="71"/>
        <v>0</v>
      </c>
      <c r="L122" s="240">
        <f t="shared" si="71"/>
        <v>0</v>
      </c>
      <c r="M122" s="242">
        <f t="shared" si="71"/>
        <v>0</v>
      </c>
      <c r="N122" s="237">
        <f t="shared" si="32"/>
        <v>0</v>
      </c>
      <c r="O122" s="243">
        <f>IFERROR($D$122*O173/100, 0)</f>
        <v>0</v>
      </c>
      <c r="P122" s="241">
        <f t="shared" si="71"/>
        <v>0</v>
      </c>
      <c r="Q122" s="237">
        <f t="shared" si="71"/>
        <v>0</v>
      </c>
      <c r="R122" s="130"/>
      <c r="T122" s="130" t="b">
        <v>1</v>
      </c>
      <c r="U122" s="130" t="b">
        <v>1</v>
      </c>
      <c r="V122" s="130" t="b">
        <v>1</v>
      </c>
      <c r="W122" s="130" t="b">
        <v>1</v>
      </c>
      <c r="X122" s="130" t="b">
        <v>1</v>
      </c>
      <c r="Y122" s="130" t="b">
        <v>1</v>
      </c>
      <c r="Z122" s="130" t="b">
        <v>1</v>
      </c>
      <c r="AA122" s="130" t="b">
        <v>1</v>
      </c>
      <c r="AB122" s="130" t="b">
        <v>1</v>
      </c>
      <c r="AC122" s="130" t="b">
        <v>1</v>
      </c>
      <c r="AD122" s="130" t="b">
        <v>1</v>
      </c>
      <c r="AE122" s="130" t="b">
        <v>1</v>
      </c>
      <c r="AF122" s="130" t="b">
        <v>1</v>
      </c>
      <c r="AG122" s="130" t="b">
        <v>1</v>
      </c>
    </row>
    <row r="123" spans="2:33">
      <c r="B123" s="294" t="s">
        <v>433</v>
      </c>
      <c r="C123" s="293" t="s">
        <v>370</v>
      </c>
      <c r="D123" s="386">
        <v>2.8999799999999998</v>
      </c>
      <c r="E123" s="238">
        <f t="shared" si="51"/>
        <v>0.74133051546892292</v>
      </c>
      <c r="F123" s="239">
        <f>IFERROR($D$123*F174/100, 0)</f>
        <v>2.9189448686155722E-2</v>
      </c>
      <c r="G123" s="240">
        <f>IFERROR($D$123*G174/100, 0)</f>
        <v>0.13238124352304736</v>
      </c>
      <c r="H123" s="241">
        <f>IFERROR($D$123*H174/100, 0)</f>
        <v>0.57975982325971986</v>
      </c>
      <c r="I123" s="237">
        <f t="shared" si="67"/>
        <v>2.1584025771345297</v>
      </c>
      <c r="J123" s="239">
        <f t="shared" ref="J123:Q123" si="72">IFERROR($D$123*J174/100, 0)</f>
        <v>1.3980707119581652</v>
      </c>
      <c r="K123" s="240">
        <f t="shared" si="72"/>
        <v>0.47482855329022572</v>
      </c>
      <c r="L123" s="240">
        <f t="shared" si="72"/>
        <v>0.28550331188613887</v>
      </c>
      <c r="M123" s="242">
        <f t="shared" si="72"/>
        <v>0</v>
      </c>
      <c r="N123" s="237">
        <f t="shared" si="32"/>
        <v>2.4690739654739284E-4</v>
      </c>
      <c r="O123" s="243">
        <f>IFERROR($D$123*O174/100, 0)</f>
        <v>2.4690739654739284E-4</v>
      </c>
      <c r="P123" s="241">
        <f t="shared" si="72"/>
        <v>0</v>
      </c>
      <c r="Q123" s="237">
        <f t="shared" si="72"/>
        <v>0</v>
      </c>
      <c r="R123" s="130"/>
      <c r="T123" s="130" t="b">
        <v>1</v>
      </c>
      <c r="U123" s="130" t="b">
        <v>1</v>
      </c>
      <c r="V123" s="130" t="b">
        <v>1</v>
      </c>
      <c r="W123" s="130" t="b">
        <v>1</v>
      </c>
      <c r="X123" s="130" t="b">
        <v>1</v>
      </c>
      <c r="Y123" s="130" t="b">
        <v>1</v>
      </c>
      <c r="Z123" s="130" t="b">
        <v>1</v>
      </c>
      <c r="AA123" s="130" t="b">
        <v>1</v>
      </c>
      <c r="AB123" s="130" t="b">
        <v>1</v>
      </c>
      <c r="AC123" s="130" t="b">
        <v>1</v>
      </c>
      <c r="AD123" s="130" t="b">
        <v>1</v>
      </c>
      <c r="AE123" s="130" t="b">
        <v>1</v>
      </c>
      <c r="AF123" s="130" t="b">
        <v>1</v>
      </c>
      <c r="AG123" s="130" t="b">
        <v>1</v>
      </c>
    </row>
    <row r="124" spans="2:33">
      <c r="B124" s="294" t="s">
        <v>434</v>
      </c>
      <c r="C124" s="293" t="s">
        <v>372</v>
      </c>
      <c r="D124" s="386">
        <v>0</v>
      </c>
      <c r="E124" s="238">
        <f t="shared" si="51"/>
        <v>0</v>
      </c>
      <c r="F124" s="239">
        <f>IFERROR($D$124*F175/100, 0)</f>
        <v>0</v>
      </c>
      <c r="G124" s="240">
        <f>IFERROR($D$124*G175/100, 0)</f>
        <v>0</v>
      </c>
      <c r="H124" s="241">
        <f>IFERROR($D$124*H175/100, 0)</f>
        <v>0</v>
      </c>
      <c r="I124" s="237">
        <f t="shared" si="67"/>
        <v>0</v>
      </c>
      <c r="J124" s="239">
        <f t="shared" ref="J124:Q124" si="73">IFERROR($D$124*J175/100, 0)</f>
        <v>0</v>
      </c>
      <c r="K124" s="240">
        <f t="shared" si="73"/>
        <v>0</v>
      </c>
      <c r="L124" s="240">
        <f t="shared" si="73"/>
        <v>0</v>
      </c>
      <c r="M124" s="242">
        <f t="shared" si="73"/>
        <v>0</v>
      </c>
      <c r="N124" s="237">
        <f t="shared" si="32"/>
        <v>0</v>
      </c>
      <c r="O124" s="243">
        <f>IFERROR($D$124*O175/100, 0)</f>
        <v>0</v>
      </c>
      <c r="P124" s="241">
        <f t="shared" si="73"/>
        <v>0</v>
      </c>
      <c r="Q124" s="237">
        <f t="shared" si="73"/>
        <v>0</v>
      </c>
      <c r="R124" s="130"/>
      <c r="T124" s="130" t="b">
        <v>1</v>
      </c>
      <c r="U124" s="130" t="b">
        <v>1</v>
      </c>
      <c r="V124" s="130" t="b">
        <v>1</v>
      </c>
      <c r="W124" s="130" t="b">
        <v>1</v>
      </c>
      <c r="X124" s="130" t="b">
        <v>1</v>
      </c>
      <c r="Y124" s="130" t="b">
        <v>1</v>
      </c>
      <c r="Z124" s="130" t="b">
        <v>1</v>
      </c>
      <c r="AA124" s="130" t="b">
        <v>1</v>
      </c>
      <c r="AB124" s="130" t="b">
        <v>1</v>
      </c>
      <c r="AC124" s="130" t="b">
        <v>1</v>
      </c>
      <c r="AD124" s="130" t="b">
        <v>1</v>
      </c>
      <c r="AE124" s="130" t="b">
        <v>1</v>
      </c>
      <c r="AF124" s="130" t="b">
        <v>1</v>
      </c>
      <c r="AG124" s="130" t="b">
        <v>1</v>
      </c>
    </row>
    <row r="125" spans="2:33">
      <c r="B125" s="294" t="s">
        <v>435</v>
      </c>
      <c r="C125" s="293" t="s">
        <v>374</v>
      </c>
      <c r="D125" s="386">
        <v>0.75</v>
      </c>
      <c r="E125" s="238">
        <f t="shared" si="51"/>
        <v>0.1917247314125243</v>
      </c>
      <c r="F125" s="239">
        <f>IFERROR($D$125*F176/100, 0)</f>
        <v>7.5490474122638061E-3</v>
      </c>
      <c r="G125" s="240">
        <f>IFERROR($D$125*G176/100, 0)</f>
        <v>3.4236764612957854E-2</v>
      </c>
      <c r="H125" s="241">
        <f>IFERROR($D$125*H176/100, 0)</f>
        <v>0.14993891938730264</v>
      </c>
      <c r="I125" s="237">
        <f t="shared" si="67"/>
        <v>0.5582114127859148</v>
      </c>
      <c r="J125" s="239">
        <f t="shared" ref="J125:Q125" si="74">IFERROR($D$125*J176/100, 0)</f>
        <v>0.36157250531680352</v>
      </c>
      <c r="K125" s="240">
        <f t="shared" si="74"/>
        <v>0.12280133482564339</v>
      </c>
      <c r="L125" s="240">
        <f t="shared" si="74"/>
        <v>7.383757264346795E-2</v>
      </c>
      <c r="M125" s="242">
        <f t="shared" si="74"/>
        <v>0</v>
      </c>
      <c r="N125" s="237">
        <f t="shared" si="32"/>
        <v>6.3855801560888225E-5</v>
      </c>
      <c r="O125" s="243">
        <f>IFERROR($D$125*O176/100, 0)</f>
        <v>6.3855801560888225E-5</v>
      </c>
      <c r="P125" s="241">
        <f t="shared" si="74"/>
        <v>0</v>
      </c>
      <c r="Q125" s="237">
        <f t="shared" si="74"/>
        <v>0</v>
      </c>
      <c r="R125" s="130"/>
      <c r="T125" s="130" t="b">
        <v>1</v>
      </c>
      <c r="U125" s="130" t="b">
        <v>1</v>
      </c>
      <c r="V125" s="130" t="b">
        <v>1</v>
      </c>
      <c r="W125" s="130" t="b">
        <v>1</v>
      </c>
      <c r="X125" s="130" t="b">
        <v>1</v>
      </c>
      <c r="Y125" s="130" t="b">
        <v>1</v>
      </c>
      <c r="Z125" s="130" t="b">
        <v>1</v>
      </c>
      <c r="AA125" s="130" t="b">
        <v>1</v>
      </c>
      <c r="AB125" s="130" t="b">
        <v>1</v>
      </c>
      <c r="AC125" s="130" t="b">
        <v>1</v>
      </c>
      <c r="AD125" s="130" t="b">
        <v>1</v>
      </c>
      <c r="AE125" s="130" t="b">
        <v>1</v>
      </c>
      <c r="AF125" s="130" t="b">
        <v>1</v>
      </c>
      <c r="AG125" s="130" t="b">
        <v>1</v>
      </c>
    </row>
    <row r="126" spans="2:33">
      <c r="B126" s="294" t="s">
        <v>436</v>
      </c>
      <c r="C126" s="293" t="s">
        <v>376</v>
      </c>
      <c r="D126" s="386">
        <v>0</v>
      </c>
      <c r="E126" s="238">
        <f t="shared" si="51"/>
        <v>0</v>
      </c>
      <c r="F126" s="239">
        <f>IFERROR($D$126*F177/100, 0)</f>
        <v>0</v>
      </c>
      <c r="G126" s="240">
        <f>IFERROR($D$126*G177/100, 0)</f>
        <v>0</v>
      </c>
      <c r="H126" s="241">
        <f>IFERROR($D$126*H177/100, 0)</f>
        <v>0</v>
      </c>
      <c r="I126" s="237">
        <f t="shared" si="67"/>
        <v>0</v>
      </c>
      <c r="J126" s="239">
        <f t="shared" ref="J126:Q126" si="75">IFERROR($D$126*J177/100, 0)</f>
        <v>0</v>
      </c>
      <c r="K126" s="240">
        <f t="shared" si="75"/>
        <v>0</v>
      </c>
      <c r="L126" s="240">
        <f t="shared" si="75"/>
        <v>0</v>
      </c>
      <c r="M126" s="242">
        <f t="shared" si="75"/>
        <v>0</v>
      </c>
      <c r="N126" s="237">
        <f t="shared" si="32"/>
        <v>0</v>
      </c>
      <c r="O126" s="243">
        <f>IFERROR($D$126*O177/100, 0)</f>
        <v>0</v>
      </c>
      <c r="P126" s="241">
        <f t="shared" si="75"/>
        <v>0</v>
      </c>
      <c r="Q126" s="237">
        <f t="shared" si="75"/>
        <v>0</v>
      </c>
      <c r="R126" s="130"/>
      <c r="T126" s="130" t="b">
        <v>1</v>
      </c>
      <c r="U126" s="130" t="b">
        <v>1</v>
      </c>
      <c r="V126" s="130" t="b">
        <v>1</v>
      </c>
      <c r="W126" s="130" t="b">
        <v>1</v>
      </c>
      <c r="X126" s="130" t="b">
        <v>1</v>
      </c>
      <c r="Y126" s="130" t="b">
        <v>1</v>
      </c>
      <c r="Z126" s="130" t="b">
        <v>1</v>
      </c>
      <c r="AA126" s="130" t="b">
        <v>1</v>
      </c>
      <c r="AB126" s="130" t="b">
        <v>1</v>
      </c>
      <c r="AC126" s="130" t="b">
        <v>1</v>
      </c>
      <c r="AD126" s="130" t="b">
        <v>1</v>
      </c>
      <c r="AE126" s="130" t="b">
        <v>1</v>
      </c>
      <c r="AF126" s="130" t="b">
        <v>1</v>
      </c>
      <c r="AG126" s="130" t="b">
        <v>1</v>
      </c>
    </row>
    <row r="127" spans="2:33">
      <c r="B127" s="294" t="s">
        <v>437</v>
      </c>
      <c r="C127" s="293" t="s">
        <v>378</v>
      </c>
      <c r="D127" s="386">
        <v>0.31409999999999999</v>
      </c>
      <c r="E127" s="238">
        <f t="shared" si="51"/>
        <v>8.0294317515565178E-2</v>
      </c>
      <c r="F127" s="239">
        <f>IFERROR($D$127*F178/100, 0)</f>
        <v>3.1615410562560817E-3</v>
      </c>
      <c r="G127" s="240">
        <f>IFERROR($D$127*G178/100, 0)</f>
        <v>1.4338357019906749E-2</v>
      </c>
      <c r="H127" s="241">
        <f>IFERROR($D$127*H178/100, 0)</f>
        <v>6.2794419439402352E-2</v>
      </c>
      <c r="I127" s="237">
        <f t="shared" si="67"/>
        <v>0.23377893967474114</v>
      </c>
      <c r="J127" s="239">
        <f t="shared" ref="J127:Q127" si="76">IFERROR($D$127*J178/100, 0)</f>
        <v>0.15142656522667733</v>
      </c>
      <c r="K127" s="240">
        <f t="shared" si="76"/>
        <v>5.1429199024979451E-2</v>
      </c>
      <c r="L127" s="240">
        <f t="shared" si="76"/>
        <v>3.0923175423084377E-2</v>
      </c>
      <c r="M127" s="242">
        <f t="shared" si="76"/>
        <v>0</v>
      </c>
      <c r="N127" s="237">
        <f t="shared" si="32"/>
        <v>2.6742809693699989E-5</v>
      </c>
      <c r="O127" s="243">
        <f>IFERROR($D$127*O178/100, 0)</f>
        <v>2.6742809693699989E-5</v>
      </c>
      <c r="P127" s="241">
        <f t="shared" si="76"/>
        <v>0</v>
      </c>
      <c r="Q127" s="237">
        <f t="shared" si="76"/>
        <v>0</v>
      </c>
      <c r="R127" s="130"/>
      <c r="T127" s="130" t="b">
        <v>1</v>
      </c>
      <c r="U127" s="130" t="b">
        <v>1</v>
      </c>
      <c r="V127" s="130" t="b">
        <v>1</v>
      </c>
      <c r="W127" s="130" t="b">
        <v>1</v>
      </c>
      <c r="X127" s="130" t="b">
        <v>1</v>
      </c>
      <c r="Y127" s="130" t="b">
        <v>1</v>
      </c>
      <c r="Z127" s="130" t="b">
        <v>1</v>
      </c>
      <c r="AA127" s="130" t="b">
        <v>1</v>
      </c>
      <c r="AB127" s="130" t="b">
        <v>1</v>
      </c>
      <c r="AC127" s="130" t="b">
        <v>1</v>
      </c>
      <c r="AD127" s="130" t="b">
        <v>1</v>
      </c>
      <c r="AE127" s="130" t="b">
        <v>1</v>
      </c>
      <c r="AF127" s="130" t="b">
        <v>1</v>
      </c>
      <c r="AG127" s="130" t="b">
        <v>1</v>
      </c>
    </row>
    <row r="128" spans="2:33">
      <c r="B128" s="294" t="s">
        <v>438</v>
      </c>
      <c r="C128" s="293" t="s">
        <v>380</v>
      </c>
      <c r="D128" s="386">
        <v>0</v>
      </c>
      <c r="E128" s="238">
        <f t="shared" si="51"/>
        <v>0</v>
      </c>
      <c r="F128" s="239">
        <f>IFERROR($D$128*F179/100, 0)</f>
        <v>0</v>
      </c>
      <c r="G128" s="240">
        <f>IFERROR($D$128*G179/100, 0)</f>
        <v>0</v>
      </c>
      <c r="H128" s="241">
        <f>IFERROR($D$128*H179/100, 0)</f>
        <v>0</v>
      </c>
      <c r="I128" s="237">
        <f t="shared" si="67"/>
        <v>0</v>
      </c>
      <c r="J128" s="239">
        <f t="shared" ref="J128:Q128" si="77">IFERROR($D$128*J179/100, 0)</f>
        <v>0</v>
      </c>
      <c r="K128" s="240">
        <f t="shared" si="77"/>
        <v>0</v>
      </c>
      <c r="L128" s="240">
        <f t="shared" si="77"/>
        <v>0</v>
      </c>
      <c r="M128" s="242">
        <f t="shared" si="77"/>
        <v>0</v>
      </c>
      <c r="N128" s="237">
        <f t="shared" si="32"/>
        <v>0</v>
      </c>
      <c r="O128" s="243">
        <f>IFERROR($D$128*O179/100, 0)</f>
        <v>0</v>
      </c>
      <c r="P128" s="241">
        <f t="shared" si="77"/>
        <v>0</v>
      </c>
      <c r="Q128" s="237">
        <f t="shared" si="77"/>
        <v>0</v>
      </c>
      <c r="R128" s="130"/>
      <c r="T128" s="130" t="b">
        <v>1</v>
      </c>
      <c r="U128" s="130" t="b">
        <v>1</v>
      </c>
      <c r="V128" s="130" t="b">
        <v>1</v>
      </c>
      <c r="W128" s="130" t="b">
        <v>1</v>
      </c>
      <c r="X128" s="130" t="b">
        <v>1</v>
      </c>
      <c r="Y128" s="130" t="b">
        <v>1</v>
      </c>
      <c r="Z128" s="130" t="b">
        <v>1</v>
      </c>
      <c r="AA128" s="130" t="b">
        <v>1</v>
      </c>
      <c r="AB128" s="130" t="b">
        <v>1</v>
      </c>
      <c r="AC128" s="130" t="b">
        <v>1</v>
      </c>
      <c r="AD128" s="130" t="b">
        <v>1</v>
      </c>
      <c r="AE128" s="130" t="b">
        <v>1</v>
      </c>
      <c r="AF128" s="130" t="b">
        <v>1</v>
      </c>
      <c r="AG128" s="130" t="b">
        <v>1</v>
      </c>
    </row>
    <row r="129" spans="1:33">
      <c r="B129" s="294" t="s">
        <v>439</v>
      </c>
      <c r="C129" s="293" t="s">
        <v>382</v>
      </c>
      <c r="D129" s="386">
        <v>0</v>
      </c>
      <c r="E129" s="238">
        <f t="shared" si="51"/>
        <v>0</v>
      </c>
      <c r="F129" s="239">
        <f>IFERROR($D$129*F180/100, 0)</f>
        <v>0</v>
      </c>
      <c r="G129" s="240">
        <f>IFERROR($D$129*G180/100, 0)</f>
        <v>0</v>
      </c>
      <c r="H129" s="241">
        <f>IFERROR($D$129*H180/100, 0)</f>
        <v>0</v>
      </c>
      <c r="I129" s="237">
        <f t="shared" si="67"/>
        <v>0</v>
      </c>
      <c r="J129" s="239">
        <f t="shared" ref="J129:Q129" si="78">IFERROR($D$129*J180/100, 0)</f>
        <v>0</v>
      </c>
      <c r="K129" s="240">
        <f t="shared" si="78"/>
        <v>0</v>
      </c>
      <c r="L129" s="240">
        <f t="shared" si="78"/>
        <v>0</v>
      </c>
      <c r="M129" s="242">
        <f t="shared" si="78"/>
        <v>0</v>
      </c>
      <c r="N129" s="237">
        <f t="shared" si="32"/>
        <v>0</v>
      </c>
      <c r="O129" s="243">
        <f>IFERROR($D$129*O180/100, 0)</f>
        <v>0</v>
      </c>
      <c r="P129" s="241">
        <f t="shared" si="78"/>
        <v>0</v>
      </c>
      <c r="Q129" s="237">
        <f t="shared" si="78"/>
        <v>0</v>
      </c>
      <c r="R129" s="130"/>
      <c r="T129" s="130" t="b">
        <v>1</v>
      </c>
      <c r="U129" s="130" t="b">
        <v>1</v>
      </c>
      <c r="V129" s="130" t="b">
        <v>1</v>
      </c>
      <c r="W129" s="130" t="b">
        <v>1</v>
      </c>
      <c r="X129" s="130" t="b">
        <v>1</v>
      </c>
      <c r="Y129" s="130" t="b">
        <v>1</v>
      </c>
      <c r="Z129" s="130" t="b">
        <v>1</v>
      </c>
      <c r="AA129" s="130" t="b">
        <v>1</v>
      </c>
      <c r="AB129" s="130" t="b">
        <v>1</v>
      </c>
      <c r="AC129" s="130" t="b">
        <v>1</v>
      </c>
      <c r="AD129" s="130" t="b">
        <v>1</v>
      </c>
      <c r="AE129" s="130" t="b">
        <v>1</v>
      </c>
      <c r="AF129" s="130" t="b">
        <v>1</v>
      </c>
      <c r="AG129" s="130" t="b">
        <v>1</v>
      </c>
    </row>
    <row r="130" spans="1:33" ht="15" thickBot="1">
      <c r="B130" s="398" t="s">
        <v>440</v>
      </c>
      <c r="C130" s="334" t="s">
        <v>384</v>
      </c>
      <c r="D130" s="399">
        <v>0.30499999999999999</v>
      </c>
      <c r="E130" s="400">
        <f t="shared" si="51"/>
        <v>7.7968057441093225E-2</v>
      </c>
      <c r="F130" s="401">
        <f>IFERROR($D$130*F181/100, 0)</f>
        <v>3.0699459476539476E-3</v>
      </c>
      <c r="G130" s="402">
        <f>IFERROR($D$130*G181/100, 0)</f>
        <v>1.392295094260286E-2</v>
      </c>
      <c r="H130" s="403">
        <f>IFERROR($D$130*H181/100, 0)</f>
        <v>6.0975160550836412E-2</v>
      </c>
      <c r="I130" s="404">
        <f t="shared" si="67"/>
        <v>0.22700597453293872</v>
      </c>
      <c r="J130" s="401">
        <f t="shared" ref="J130:Q130" si="79">IFERROR($D$130*J181/100, 0)</f>
        <v>0.14703948549550011</v>
      </c>
      <c r="K130" s="402">
        <f t="shared" si="79"/>
        <v>4.9939209495761645E-2</v>
      </c>
      <c r="L130" s="402">
        <f t="shared" si="79"/>
        <v>3.0027279541676964E-2</v>
      </c>
      <c r="M130" s="405">
        <f t="shared" si="79"/>
        <v>0</v>
      </c>
      <c r="N130" s="404">
        <f t="shared" si="32"/>
        <v>2.5968025968094546E-5</v>
      </c>
      <c r="O130" s="406">
        <f>IFERROR($D$130*O181/100, 0)</f>
        <v>2.5968025968094546E-5</v>
      </c>
      <c r="P130" s="403">
        <f t="shared" si="79"/>
        <v>0</v>
      </c>
      <c r="Q130" s="404">
        <f t="shared" si="79"/>
        <v>0</v>
      </c>
      <c r="R130" s="130"/>
      <c r="T130" s="130" t="b">
        <v>1</v>
      </c>
      <c r="U130" s="130" t="b">
        <v>1</v>
      </c>
      <c r="V130" s="130" t="b">
        <v>1</v>
      </c>
      <c r="W130" s="130" t="b">
        <v>1</v>
      </c>
      <c r="X130" s="130" t="b">
        <v>1</v>
      </c>
      <c r="Y130" s="130" t="b">
        <v>1</v>
      </c>
      <c r="Z130" s="130" t="b">
        <v>1</v>
      </c>
      <c r="AA130" s="130" t="b">
        <v>1</v>
      </c>
      <c r="AB130" s="130" t="b">
        <v>1</v>
      </c>
      <c r="AC130" s="130" t="b">
        <v>1</v>
      </c>
      <c r="AD130" s="130" t="b">
        <v>1</v>
      </c>
      <c r="AE130" s="130" t="b">
        <v>1</v>
      </c>
      <c r="AF130" s="130" t="b">
        <v>1</v>
      </c>
      <c r="AG130" s="130" t="b">
        <v>1</v>
      </c>
    </row>
    <row r="131" spans="1:33" ht="15" thickBot="1">
      <c r="B131" s="407" t="s">
        <v>441</v>
      </c>
      <c r="C131" s="344" t="s">
        <v>386</v>
      </c>
      <c r="D131" s="408">
        <v>4.85487</v>
      </c>
      <c r="E131" s="346">
        <f t="shared" si="51"/>
        <v>1.241064862390296</v>
      </c>
      <c r="F131" s="409">
        <f>IFERROR($D$131*F182/100, 0)</f>
        <v>4.8866191747169579E-2</v>
      </c>
      <c r="G131" s="410">
        <f>IFERROR($D$131*G182/100, 0)</f>
        <v>0.22162005522201425</v>
      </c>
      <c r="H131" s="411">
        <f>IFERROR($D$131*H182/100, 0)</f>
        <v>0.97057861542111212</v>
      </c>
      <c r="I131" s="345">
        <f t="shared" si="67"/>
        <v>3.6133917887892735</v>
      </c>
      <c r="J131" s="409">
        <f t="shared" ref="J131:Q131" si="80">IFERROR($D$131*J182/100, 0)</f>
        <v>2.3405166785165203</v>
      </c>
      <c r="K131" s="410">
        <f t="shared" si="80"/>
        <v>0.79491268853996178</v>
      </c>
      <c r="L131" s="410">
        <f t="shared" si="80"/>
        <v>0.47796242173279102</v>
      </c>
      <c r="M131" s="412">
        <f t="shared" si="80"/>
        <v>0</v>
      </c>
      <c r="N131" s="345">
        <f t="shared" si="32"/>
        <v>4.1334882043187924E-4</v>
      </c>
      <c r="O131" s="413">
        <f>IFERROR($D$131*O182/100, 0)</f>
        <v>4.1334882043187924E-4</v>
      </c>
      <c r="P131" s="411">
        <f t="shared" si="80"/>
        <v>0</v>
      </c>
      <c r="Q131" s="345">
        <f t="shared" si="80"/>
        <v>0</v>
      </c>
      <c r="R131" s="130"/>
      <c r="T131" s="130" t="b">
        <v>1</v>
      </c>
      <c r="U131" s="130" t="b">
        <v>1</v>
      </c>
      <c r="V131" s="130" t="b">
        <v>1</v>
      </c>
      <c r="W131" s="130" t="b">
        <v>1</v>
      </c>
      <c r="X131" s="130" t="b">
        <v>1</v>
      </c>
      <c r="Y131" s="130" t="b">
        <v>1</v>
      </c>
      <c r="Z131" s="130" t="b">
        <v>1</v>
      </c>
      <c r="AA131" s="130" t="b">
        <v>1</v>
      </c>
      <c r="AB131" s="130" t="b">
        <v>1</v>
      </c>
      <c r="AC131" s="130" t="b">
        <v>1</v>
      </c>
      <c r="AD131" s="130" t="b">
        <v>1</v>
      </c>
      <c r="AE131" s="130" t="b">
        <v>1</v>
      </c>
      <c r="AF131" s="130" t="b">
        <v>1</v>
      </c>
      <c r="AG131" s="130" t="b">
        <v>1</v>
      </c>
    </row>
    <row r="132" spans="1:33">
      <c r="B132" s="387" t="s">
        <v>442</v>
      </c>
      <c r="C132" s="233" t="s">
        <v>388</v>
      </c>
      <c r="D132" s="388">
        <f>SUM(D133:D138)</f>
        <v>15.286792000000002</v>
      </c>
      <c r="E132" s="166">
        <f t="shared" si="51"/>
        <v>3.9078081204788342</v>
      </c>
      <c r="F132" s="167">
        <f>SUM(F133:F138)</f>
        <v>0.15386762345255339</v>
      </c>
      <c r="G132" s="168">
        <f t="shared" ref="G132:Q132" si="81">SUM(G133:G138)</f>
        <v>0.69782706585499632</v>
      </c>
      <c r="H132" s="169">
        <f t="shared" si="81"/>
        <v>3.0561134311712843</v>
      </c>
      <c r="I132" s="165">
        <f t="shared" si="67"/>
        <v>11.377682345712564</v>
      </c>
      <c r="J132" s="167">
        <f t="shared" si="81"/>
        <v>7.3697115755958276</v>
      </c>
      <c r="K132" s="168">
        <f t="shared" si="81"/>
        <v>2.5029846170692891</v>
      </c>
      <c r="L132" s="168">
        <f t="shared" si="81"/>
        <v>1.5049861530474464</v>
      </c>
      <c r="M132" s="170">
        <f t="shared" si="81"/>
        <v>0</v>
      </c>
      <c r="N132" s="165">
        <f t="shared" si="32"/>
        <v>1.3015338086060982E-3</v>
      </c>
      <c r="O132" s="171">
        <f>SUM(O133:O138)</f>
        <v>1.3015338086060982E-3</v>
      </c>
      <c r="P132" s="169">
        <f t="shared" si="81"/>
        <v>0</v>
      </c>
      <c r="Q132" s="165">
        <f t="shared" si="81"/>
        <v>0</v>
      </c>
      <c r="R132" s="130"/>
      <c r="T132" s="130" t="b">
        <v>1</v>
      </c>
      <c r="U132" s="130" t="b">
        <v>1</v>
      </c>
      <c r="V132" s="130" t="b">
        <v>1</v>
      </c>
      <c r="W132" s="130" t="b">
        <v>1</v>
      </c>
      <c r="X132" s="130" t="b">
        <v>1</v>
      </c>
      <c r="Y132" s="130" t="b">
        <v>1</v>
      </c>
      <c r="Z132" s="130" t="b">
        <v>1</v>
      </c>
      <c r="AA132" s="130" t="b">
        <v>1</v>
      </c>
      <c r="AB132" s="130" t="b">
        <v>1</v>
      </c>
      <c r="AC132" s="130" t="b">
        <v>1</v>
      </c>
      <c r="AD132" s="130" t="b">
        <v>1</v>
      </c>
      <c r="AE132" s="130" t="b">
        <v>1</v>
      </c>
      <c r="AF132" s="130" t="b">
        <v>1</v>
      </c>
      <c r="AG132" s="130" t="b">
        <v>1</v>
      </c>
    </row>
    <row r="133" spans="1:33">
      <c r="B133" s="414" t="s">
        <v>443</v>
      </c>
      <c r="C133" s="415" t="s">
        <v>390</v>
      </c>
      <c r="D133" s="416">
        <v>0.18948000000000001</v>
      </c>
      <c r="E133" s="357">
        <f t="shared" si="51"/>
        <v>4.843733614406015E-2</v>
      </c>
      <c r="F133" s="417">
        <f>IFERROR($D$133*F183/100, 0)</f>
        <v>1.9071913382343281E-3</v>
      </c>
      <c r="G133" s="418">
        <f>IFERROR($D$133*G183/100, 0)</f>
        <v>8.6495762118176736E-3</v>
      </c>
      <c r="H133" s="419">
        <f>IFERROR($D$133*H183/100, 0)</f>
        <v>3.7880568594008145E-2</v>
      </c>
      <c r="I133" s="356">
        <f t="shared" si="67"/>
        <v>0.14102653132623355</v>
      </c>
      <c r="J133" s="417">
        <f t="shared" ref="J133:Q133" si="82">IFERROR($D$133*J183/100, 0)</f>
        <v>9.1347677743237252E-2</v>
      </c>
      <c r="K133" s="418">
        <f t="shared" si="82"/>
        <v>3.1024529230350546E-2</v>
      </c>
      <c r="L133" s="418">
        <f t="shared" si="82"/>
        <v>1.8654324352645742E-2</v>
      </c>
      <c r="M133" s="420">
        <f t="shared" si="82"/>
        <v>0</v>
      </c>
      <c r="N133" s="356">
        <f t="shared" si="32"/>
        <v>1.6132529706342802E-5</v>
      </c>
      <c r="O133" s="421">
        <f>IFERROR($D$133*O183/100, 0)</f>
        <v>1.6132529706342802E-5</v>
      </c>
      <c r="P133" s="419">
        <f t="shared" si="82"/>
        <v>0</v>
      </c>
      <c r="Q133" s="356">
        <f t="shared" si="82"/>
        <v>0</v>
      </c>
      <c r="R133" s="130"/>
      <c r="T133" s="130" t="b">
        <v>1</v>
      </c>
      <c r="U133" s="130" t="b">
        <v>1</v>
      </c>
      <c r="V133" s="130" t="b">
        <v>1</v>
      </c>
      <c r="W133" s="130" t="b">
        <v>1</v>
      </c>
      <c r="X133" s="130" t="b">
        <v>1</v>
      </c>
      <c r="Y133" s="130" t="b">
        <v>1</v>
      </c>
      <c r="Z133" s="130" t="b">
        <v>1</v>
      </c>
      <c r="AA133" s="130" t="b">
        <v>1</v>
      </c>
      <c r="AB133" s="130" t="b">
        <v>1</v>
      </c>
      <c r="AC133" s="130" t="b">
        <v>1</v>
      </c>
      <c r="AD133" s="130" t="b">
        <v>1</v>
      </c>
      <c r="AE133" s="130" t="b">
        <v>1</v>
      </c>
      <c r="AF133" s="130" t="b">
        <v>1</v>
      </c>
      <c r="AG133" s="130" t="b">
        <v>1</v>
      </c>
    </row>
    <row r="134" spans="1:33">
      <c r="B134" s="414" t="s">
        <v>444</v>
      </c>
      <c r="C134" s="422" t="s">
        <v>392</v>
      </c>
      <c r="D134" s="416">
        <v>1.65909</v>
      </c>
      <c r="E134" s="357">
        <f t="shared" si="51"/>
        <v>0.4241181128522733</v>
      </c>
      <c r="F134" s="417">
        <f>IFERROR($D$134*F183/100, 0)</f>
        <v>1.669939876161701E-2</v>
      </c>
      <c r="G134" s="418">
        <f>IFERROR($D$134*G183/100, 0)</f>
        <v>7.5735831735616321E-2</v>
      </c>
      <c r="H134" s="419">
        <f>IFERROR($D$134*H183/100, 0)</f>
        <v>0.33168288235503995</v>
      </c>
      <c r="I134" s="356">
        <f t="shared" si="67"/>
        <v>1.2348306304519781</v>
      </c>
      <c r="J134" s="417">
        <f t="shared" ref="J134:Q134" si="83">IFERROR($D$134*J183/100, 0)</f>
        <v>0.79984177046140748</v>
      </c>
      <c r="K134" s="418">
        <f t="shared" si="83"/>
        <v>0.27165128879450223</v>
      </c>
      <c r="L134" s="418">
        <f t="shared" si="83"/>
        <v>0.16333757119606834</v>
      </c>
      <c r="M134" s="420">
        <f t="shared" si="83"/>
        <v>0</v>
      </c>
      <c r="N134" s="356">
        <f t="shared" si="32"/>
        <v>1.4125669574887207E-4</v>
      </c>
      <c r="O134" s="421">
        <f>IFERROR($D$134*O183/100, 0)</f>
        <v>1.4125669574887207E-4</v>
      </c>
      <c r="P134" s="419">
        <f t="shared" si="83"/>
        <v>0</v>
      </c>
      <c r="Q134" s="356">
        <f t="shared" si="83"/>
        <v>0</v>
      </c>
      <c r="R134" s="130"/>
      <c r="T134" s="130" t="b">
        <v>1</v>
      </c>
      <c r="U134" s="130" t="b">
        <v>1</v>
      </c>
      <c r="V134" s="130" t="b">
        <v>1</v>
      </c>
      <c r="W134" s="130" t="b">
        <v>1</v>
      </c>
      <c r="X134" s="130" t="b">
        <v>1</v>
      </c>
      <c r="Y134" s="130" t="b">
        <v>1</v>
      </c>
      <c r="Z134" s="130" t="b">
        <v>1</v>
      </c>
      <c r="AA134" s="130" t="b">
        <v>1</v>
      </c>
      <c r="AB134" s="130" t="b">
        <v>1</v>
      </c>
      <c r="AC134" s="130" t="b">
        <v>1</v>
      </c>
      <c r="AD134" s="130" t="b">
        <v>1</v>
      </c>
      <c r="AE134" s="130" t="b">
        <v>1</v>
      </c>
      <c r="AF134" s="130" t="b">
        <v>1</v>
      </c>
      <c r="AG134" s="130" t="b">
        <v>1</v>
      </c>
    </row>
    <row r="135" spans="1:33">
      <c r="B135" s="294" t="s">
        <v>445</v>
      </c>
      <c r="C135" s="293" t="s">
        <v>394</v>
      </c>
      <c r="D135" s="386">
        <v>0</v>
      </c>
      <c r="E135" s="238">
        <f t="shared" si="51"/>
        <v>0</v>
      </c>
      <c r="F135" s="239">
        <f>IFERROR($D$135*F183/100, 0)</f>
        <v>0</v>
      </c>
      <c r="G135" s="240">
        <f>IFERROR($D$135*G183/100, 0)</f>
        <v>0</v>
      </c>
      <c r="H135" s="241">
        <f>IFERROR($D$135*H183/100, 0)</f>
        <v>0</v>
      </c>
      <c r="I135" s="237">
        <f t="shared" si="67"/>
        <v>0</v>
      </c>
      <c r="J135" s="239">
        <f t="shared" ref="J135:Q135" si="84">IFERROR($D$135*J183/100, 0)</f>
        <v>0</v>
      </c>
      <c r="K135" s="240">
        <f t="shared" si="84"/>
        <v>0</v>
      </c>
      <c r="L135" s="240">
        <f t="shared" si="84"/>
        <v>0</v>
      </c>
      <c r="M135" s="242">
        <f t="shared" si="84"/>
        <v>0</v>
      </c>
      <c r="N135" s="237">
        <f t="shared" si="32"/>
        <v>0</v>
      </c>
      <c r="O135" s="243">
        <f>IFERROR($D$135*O183/100, 0)</f>
        <v>0</v>
      </c>
      <c r="P135" s="241">
        <f t="shared" si="84"/>
        <v>0</v>
      </c>
      <c r="Q135" s="237">
        <f t="shared" si="84"/>
        <v>0</v>
      </c>
      <c r="R135" s="130"/>
      <c r="T135" s="130" t="b">
        <v>1</v>
      </c>
      <c r="U135" s="130" t="b">
        <v>1</v>
      </c>
      <c r="V135" s="130" t="b">
        <v>1</v>
      </c>
      <c r="W135" s="130" t="b">
        <v>1</v>
      </c>
      <c r="X135" s="130" t="b">
        <v>1</v>
      </c>
      <c r="Y135" s="130" t="b">
        <v>1</v>
      </c>
      <c r="Z135" s="130" t="b">
        <v>1</v>
      </c>
      <c r="AA135" s="130" t="b">
        <v>1</v>
      </c>
      <c r="AB135" s="130" t="b">
        <v>1</v>
      </c>
      <c r="AC135" s="130" t="b">
        <v>1</v>
      </c>
      <c r="AD135" s="130" t="b">
        <v>1</v>
      </c>
      <c r="AE135" s="130" t="b">
        <v>1</v>
      </c>
      <c r="AF135" s="130" t="b">
        <v>1</v>
      </c>
      <c r="AG135" s="130" t="b">
        <v>1</v>
      </c>
    </row>
    <row r="136" spans="1:33">
      <c r="B136" s="307" t="s">
        <v>446</v>
      </c>
      <c r="C136" s="284" t="s">
        <v>396</v>
      </c>
      <c r="D136" s="389">
        <f>13.040532</f>
        <v>13.040532000000001</v>
      </c>
      <c r="E136" s="246">
        <f t="shared" si="51"/>
        <v>3.3335899935685713</v>
      </c>
      <c r="F136" s="247">
        <f>IFERROR($D$136*F183/100, 0)</f>
        <v>0.13125812579885782</v>
      </c>
      <c r="G136" s="248">
        <f>IFERROR($D$136*G183/100, 0)</f>
        <v>0.59528749934899272</v>
      </c>
      <c r="H136" s="249">
        <f>IFERROR($D$136*H183/100, 0)</f>
        <v>2.6070443684207207</v>
      </c>
      <c r="I136" s="245">
        <f t="shared" si="67"/>
        <v>9.7058317215999104</v>
      </c>
      <c r="J136" s="247">
        <f t="shared" ref="J136:Q136" si="85">IFERROR($D$136*J183/100, 0)</f>
        <v>6.2867971012052637</v>
      </c>
      <c r="K136" s="248">
        <f t="shared" si="85"/>
        <v>2.1351929819153561</v>
      </c>
      <c r="L136" s="248">
        <f t="shared" si="85"/>
        <v>1.2838416384792912</v>
      </c>
      <c r="M136" s="250">
        <f t="shared" si="85"/>
        <v>0</v>
      </c>
      <c r="N136" s="245">
        <f t="shared" si="32"/>
        <v>1.1102848315205506E-3</v>
      </c>
      <c r="O136" s="251">
        <f>IFERROR($D$136*O183/100, 0)</f>
        <v>1.1102848315205506E-3</v>
      </c>
      <c r="P136" s="249">
        <f t="shared" si="85"/>
        <v>0</v>
      </c>
      <c r="Q136" s="245">
        <f t="shared" si="85"/>
        <v>0</v>
      </c>
      <c r="R136" s="130"/>
      <c r="T136" s="130" t="b">
        <v>1</v>
      </c>
      <c r="U136" s="130" t="b">
        <v>1</v>
      </c>
      <c r="V136" s="130" t="b">
        <v>1</v>
      </c>
      <c r="W136" s="130" t="b">
        <v>1</v>
      </c>
      <c r="X136" s="130" t="b">
        <v>1</v>
      </c>
      <c r="Y136" s="130" t="b">
        <v>1</v>
      </c>
      <c r="Z136" s="130" t="b">
        <v>1</v>
      </c>
      <c r="AA136" s="130" t="b">
        <v>1</v>
      </c>
      <c r="AB136" s="130" t="b">
        <v>1</v>
      </c>
      <c r="AC136" s="130" t="b">
        <v>1</v>
      </c>
      <c r="AD136" s="130" t="b">
        <v>1</v>
      </c>
      <c r="AE136" s="130" t="b">
        <v>1</v>
      </c>
      <c r="AF136" s="130" t="b">
        <v>1</v>
      </c>
      <c r="AG136" s="130" t="b">
        <v>1</v>
      </c>
    </row>
    <row r="137" spans="1:33">
      <c r="B137" s="307" t="s">
        <v>447</v>
      </c>
      <c r="C137" s="423" t="s">
        <v>398</v>
      </c>
      <c r="D137" s="389">
        <v>0.39768999999999999</v>
      </c>
      <c r="E137" s="246">
        <f t="shared" si="51"/>
        <v>0.10166267791392906</v>
      </c>
      <c r="F137" s="247">
        <f>IFERROR($D$137*F183/100, 0)</f>
        <v>4.0029075538442569E-3</v>
      </c>
      <c r="G137" s="248">
        <f>IFERROR($D$137*G183/100, 0)</f>
        <v>1.8154158558569614E-2</v>
      </c>
      <c r="H137" s="249">
        <f>IFERROR($D$137*H183/100, 0)</f>
        <v>7.9505611801515191E-2</v>
      </c>
      <c r="I137" s="245">
        <f t="shared" si="67"/>
        <v>0.29599346233444068</v>
      </c>
      <c r="J137" s="247">
        <f t="shared" ref="J137:Q137" si="86">IFERROR($D$137*J183/100, 0)</f>
        <v>0.19172502618591949</v>
      </c>
      <c r="K137" s="248">
        <f t="shared" si="86"/>
        <v>6.5115817129080156E-2</v>
      </c>
      <c r="L137" s="248">
        <f t="shared" si="86"/>
        <v>3.9152619019441025E-2</v>
      </c>
      <c r="M137" s="250">
        <f t="shared" si="86"/>
        <v>0</v>
      </c>
      <c r="N137" s="245">
        <f t="shared" si="32"/>
        <v>3.3859751630332852E-5</v>
      </c>
      <c r="O137" s="251">
        <f>IFERROR($D$137*O183/100, 0)</f>
        <v>3.3859751630332852E-5</v>
      </c>
      <c r="P137" s="249">
        <f t="shared" si="86"/>
        <v>0</v>
      </c>
      <c r="Q137" s="245">
        <f t="shared" si="86"/>
        <v>0</v>
      </c>
      <c r="R137" s="130"/>
      <c r="T137" s="130" t="b">
        <v>1</v>
      </c>
      <c r="U137" s="130" t="b">
        <v>1</v>
      </c>
      <c r="V137" s="130" t="b">
        <v>1</v>
      </c>
      <c r="W137" s="130" t="b">
        <v>1</v>
      </c>
      <c r="X137" s="130" t="b">
        <v>1</v>
      </c>
      <c r="Y137" s="130" t="b">
        <v>1</v>
      </c>
      <c r="Z137" s="130" t="b">
        <v>1</v>
      </c>
      <c r="AA137" s="130" t="b">
        <v>1</v>
      </c>
      <c r="AB137" s="130" t="b">
        <v>1</v>
      </c>
      <c r="AC137" s="130" t="b">
        <v>1</v>
      </c>
      <c r="AD137" s="130" t="b">
        <v>1</v>
      </c>
      <c r="AE137" s="130" t="b">
        <v>1</v>
      </c>
      <c r="AF137" s="130" t="b">
        <v>1</v>
      </c>
      <c r="AG137" s="130" t="b">
        <v>1</v>
      </c>
    </row>
    <row r="138" spans="1:33" ht="15" thickBot="1">
      <c r="B138" s="307" t="s">
        <v>448</v>
      </c>
      <c r="C138" s="423" t="s">
        <v>402</v>
      </c>
      <c r="D138" s="389">
        <v>0</v>
      </c>
      <c r="E138" s="246">
        <f t="shared" si="51"/>
        <v>0</v>
      </c>
      <c r="F138" s="247">
        <f>IFERROR($D$138*F183/100, 0)</f>
        <v>0</v>
      </c>
      <c r="G138" s="248">
        <f>IFERROR($D$138*G183/100, 0)</f>
        <v>0</v>
      </c>
      <c r="H138" s="249">
        <f>IFERROR($D$138*H183/100, 0)</f>
        <v>0</v>
      </c>
      <c r="I138" s="245">
        <f t="shared" si="67"/>
        <v>0</v>
      </c>
      <c r="J138" s="247">
        <f t="shared" ref="J138:Q138" si="87">IFERROR($D$138*J183/100, 0)</f>
        <v>0</v>
      </c>
      <c r="K138" s="248">
        <f t="shared" si="87"/>
        <v>0</v>
      </c>
      <c r="L138" s="248">
        <f t="shared" si="87"/>
        <v>0</v>
      </c>
      <c r="M138" s="250">
        <f t="shared" si="87"/>
        <v>0</v>
      </c>
      <c r="N138" s="245">
        <f t="shared" ref="N138" si="88">O138+P138</f>
        <v>0</v>
      </c>
      <c r="O138" s="251">
        <f>IFERROR($D$138*O183/100, 0)</f>
        <v>0</v>
      </c>
      <c r="P138" s="249">
        <f t="shared" si="87"/>
        <v>0</v>
      </c>
      <c r="Q138" s="245">
        <f t="shared" si="87"/>
        <v>0</v>
      </c>
      <c r="R138" s="130"/>
      <c r="T138" s="130" t="b">
        <v>1</v>
      </c>
      <c r="U138" s="130" t="b">
        <v>1</v>
      </c>
      <c r="V138" s="130" t="b">
        <v>1</v>
      </c>
      <c r="W138" s="130" t="b">
        <v>1</v>
      </c>
      <c r="X138" s="130" t="b">
        <v>1</v>
      </c>
      <c r="Y138" s="130" t="b">
        <v>1</v>
      </c>
      <c r="Z138" s="130" t="b">
        <v>1</v>
      </c>
      <c r="AA138" s="130" t="b">
        <v>1</v>
      </c>
      <c r="AB138" s="130" t="b">
        <v>1</v>
      </c>
      <c r="AC138" s="130" t="b">
        <v>1</v>
      </c>
      <c r="AD138" s="130" t="b">
        <v>1</v>
      </c>
      <c r="AE138" s="130" t="b">
        <v>1</v>
      </c>
      <c r="AF138" s="130" t="b">
        <v>1</v>
      </c>
      <c r="AG138" s="130" t="b">
        <v>1</v>
      </c>
    </row>
    <row r="139" spans="1:33" ht="106.2" thickBot="1">
      <c r="B139" s="135" t="s">
        <v>60</v>
      </c>
      <c r="C139" s="136" t="s">
        <v>449</v>
      </c>
      <c r="D139" s="137" t="s">
        <v>450</v>
      </c>
      <c r="E139" s="138" t="s">
        <v>247</v>
      </c>
      <c r="F139" s="139" t="s">
        <v>248</v>
      </c>
      <c r="G139" s="140" t="s">
        <v>249</v>
      </c>
      <c r="H139" s="141" t="s">
        <v>250</v>
      </c>
      <c r="I139" s="137" t="s">
        <v>251</v>
      </c>
      <c r="J139" s="139" t="s">
        <v>252</v>
      </c>
      <c r="K139" s="140" t="s">
        <v>253</v>
      </c>
      <c r="L139" s="141" t="s">
        <v>254</v>
      </c>
      <c r="M139" s="143" t="s">
        <v>255</v>
      </c>
      <c r="N139" s="137" t="s">
        <v>256</v>
      </c>
      <c r="O139" s="144" t="s">
        <v>257</v>
      </c>
      <c r="P139" s="141" t="s">
        <v>258</v>
      </c>
      <c r="Q139" s="138" t="s">
        <v>259</v>
      </c>
      <c r="R139" s="130"/>
      <c r="T139" s="130" t="b">
        <v>0</v>
      </c>
      <c r="U139" s="130" t="b">
        <v>1</v>
      </c>
      <c r="V139" s="130" t="b">
        <v>1</v>
      </c>
      <c r="W139" s="130" t="b">
        <v>1</v>
      </c>
      <c r="X139" s="130" t="b">
        <v>1</v>
      </c>
      <c r="Y139" s="130" t="b">
        <v>1</v>
      </c>
      <c r="Z139" s="130" t="b">
        <v>1</v>
      </c>
      <c r="AA139" s="130" t="b">
        <v>1</v>
      </c>
      <c r="AB139" s="130" t="b">
        <v>1</v>
      </c>
      <c r="AC139" s="130" t="b">
        <v>1</v>
      </c>
      <c r="AD139" s="130" t="b">
        <v>1</v>
      </c>
      <c r="AE139" s="130" t="b">
        <v>1</v>
      </c>
      <c r="AF139" s="130" t="b">
        <v>1</v>
      </c>
      <c r="AG139" s="130" t="b">
        <v>1</v>
      </c>
    </row>
    <row r="140" spans="1:33">
      <c r="B140" s="424" t="s">
        <v>62</v>
      </c>
      <c r="C140" s="425" t="s">
        <v>1263</v>
      </c>
      <c r="D140" s="426"/>
      <c r="E140" s="427"/>
      <c r="F140" s="428"/>
      <c r="G140" s="428"/>
      <c r="H140" s="428"/>
      <c r="I140" s="429"/>
      <c r="J140" s="428"/>
      <c r="K140" s="428"/>
      <c r="L140" s="428"/>
      <c r="M140" s="430"/>
      <c r="N140" s="431"/>
      <c r="O140" s="432"/>
      <c r="P140" s="433"/>
      <c r="Q140" s="428"/>
      <c r="R140" s="131" t="s">
        <v>451</v>
      </c>
      <c r="T140" s="130" t="b">
        <v>1</v>
      </c>
      <c r="U140" s="130" t="b">
        <v>1</v>
      </c>
      <c r="V140" s="130" t="b">
        <v>1</v>
      </c>
      <c r="W140" s="130" t="b">
        <v>1</v>
      </c>
      <c r="X140" s="130" t="b">
        <v>1</v>
      </c>
      <c r="Y140" s="130" t="b">
        <v>1</v>
      </c>
      <c r="Z140" s="130" t="b">
        <v>1</v>
      </c>
      <c r="AA140" s="130" t="b">
        <v>1</v>
      </c>
      <c r="AB140" s="130" t="b">
        <v>1</v>
      </c>
      <c r="AC140" s="130" t="b">
        <v>1</v>
      </c>
      <c r="AD140" s="130" t="b">
        <v>1</v>
      </c>
      <c r="AE140" s="130" t="b">
        <v>1</v>
      </c>
      <c r="AF140" s="130" t="b">
        <v>1</v>
      </c>
      <c r="AG140" s="130" t="b">
        <v>1</v>
      </c>
    </row>
    <row r="141" spans="1:33" ht="26.4">
      <c r="A141" s="173" t="s">
        <v>1264</v>
      </c>
      <c r="B141" s="424">
        <v>1</v>
      </c>
      <c r="C141" s="434" t="s">
        <v>264</v>
      </c>
      <c r="D141" s="435">
        <f>O141+E141+I141+M141+P141+Q141</f>
        <v>100.00000000000001</v>
      </c>
      <c r="E141" s="436">
        <f t="shared" ref="E141:E183" si="89">SUM(F141:H141)</f>
        <v>25.563297521669909</v>
      </c>
      <c r="F141" s="437">
        <v>1.0065396549685075</v>
      </c>
      <c r="G141" s="437">
        <v>4.5649019483943807</v>
      </c>
      <c r="H141" s="437">
        <v>19.991855918307021</v>
      </c>
      <c r="I141" s="435">
        <f>SUM(J141:L141)</f>
        <v>74.42818837145532</v>
      </c>
      <c r="J141" s="437">
        <v>48.209667375573808</v>
      </c>
      <c r="K141" s="437">
        <v>16.373511310085785</v>
      </c>
      <c r="L141" s="437">
        <v>9.845009685795727</v>
      </c>
      <c r="M141" s="438">
        <v>0</v>
      </c>
      <c r="N141" s="439">
        <f t="shared" ref="N141:N142" si="90">O141+P141</f>
        <v>8.5141068747850972E-3</v>
      </c>
      <c r="O141" s="440">
        <v>8.5141068747850972E-3</v>
      </c>
      <c r="P141" s="441">
        <v>0</v>
      </c>
      <c r="Q141" s="437">
        <v>0</v>
      </c>
      <c r="T141" s="130" t="b">
        <v>1</v>
      </c>
      <c r="U141" s="130" t="b">
        <v>1</v>
      </c>
      <c r="V141" s="130" t="b">
        <v>1</v>
      </c>
      <c r="W141" s="130" t="b">
        <v>1</v>
      </c>
      <c r="X141" s="130" t="b">
        <v>1</v>
      </c>
      <c r="Y141" s="130" t="b">
        <v>1</v>
      </c>
      <c r="Z141" s="130" t="b">
        <v>1</v>
      </c>
      <c r="AA141" s="130" t="b">
        <v>1</v>
      </c>
      <c r="AB141" s="130" t="b">
        <v>1</v>
      </c>
      <c r="AC141" s="130" t="b">
        <v>1</v>
      </c>
      <c r="AD141" s="130" t="b">
        <v>1</v>
      </c>
      <c r="AE141" s="130" t="b">
        <v>1</v>
      </c>
      <c r="AF141" s="130" t="b">
        <v>1</v>
      </c>
      <c r="AG141" s="130" t="b">
        <v>1</v>
      </c>
    </row>
    <row r="142" spans="1:33" ht="15" thickBot="1">
      <c r="A142" s="131" t="s">
        <v>1265</v>
      </c>
      <c r="B142" s="442">
        <v>2</v>
      </c>
      <c r="C142" s="443" t="s">
        <v>300</v>
      </c>
      <c r="D142" s="444">
        <f>O142+E142+I142+M142+P142+Q142</f>
        <v>100.00000000000001</v>
      </c>
      <c r="E142" s="445">
        <f t="shared" si="89"/>
        <v>25.563297521669909</v>
      </c>
      <c r="F142" s="437">
        <v>1.0065396549685075</v>
      </c>
      <c r="G142" s="437">
        <v>4.5649019483943807</v>
      </c>
      <c r="H142" s="437">
        <v>19.991855918307021</v>
      </c>
      <c r="I142" s="444">
        <f>SUM(J142:L142)</f>
        <v>74.42818837145532</v>
      </c>
      <c r="J142" s="437">
        <v>48.209667375573808</v>
      </c>
      <c r="K142" s="437">
        <v>16.373511310085785</v>
      </c>
      <c r="L142" s="437">
        <v>9.845009685795727</v>
      </c>
      <c r="M142" s="446">
        <v>0</v>
      </c>
      <c r="N142" s="447">
        <f t="shared" si="90"/>
        <v>8.5141068747850972E-3</v>
      </c>
      <c r="O142" s="440">
        <v>8.5141068747850972E-3</v>
      </c>
      <c r="P142" s="448">
        <v>0</v>
      </c>
      <c r="Q142" s="449">
        <v>0</v>
      </c>
      <c r="T142" s="130" t="b">
        <v>1</v>
      </c>
      <c r="U142" s="130" t="b">
        <v>1</v>
      </c>
      <c r="V142" s="130" t="b">
        <v>1</v>
      </c>
      <c r="W142" s="130" t="b">
        <v>1</v>
      </c>
      <c r="X142" s="130" t="b">
        <v>1</v>
      </c>
      <c r="Y142" s="130" t="b">
        <v>1</v>
      </c>
      <c r="Z142" s="130" t="b">
        <v>1</v>
      </c>
      <c r="AA142" s="130" t="b">
        <v>1</v>
      </c>
      <c r="AB142" s="130" t="b">
        <v>1</v>
      </c>
      <c r="AC142" s="130" t="b">
        <v>1</v>
      </c>
      <c r="AD142" s="130" t="b">
        <v>1</v>
      </c>
      <c r="AE142" s="130" t="b">
        <v>1</v>
      </c>
      <c r="AF142" s="130" t="b">
        <v>1</v>
      </c>
      <c r="AG142" s="130" t="b">
        <v>1</v>
      </c>
    </row>
    <row r="143" spans="1:33" s="130" customFormat="1">
      <c r="A143" s="131"/>
      <c r="B143" s="450" t="s">
        <v>66</v>
      </c>
      <c r="C143" s="451" t="s">
        <v>1266</v>
      </c>
      <c r="D143" s="452"/>
      <c r="E143" s="453"/>
      <c r="F143" s="454"/>
      <c r="G143" s="454"/>
      <c r="H143" s="454"/>
      <c r="I143" s="452"/>
      <c r="J143" s="454"/>
      <c r="K143" s="454"/>
      <c r="L143" s="454"/>
      <c r="M143" s="455"/>
      <c r="N143" s="456"/>
      <c r="O143" s="457"/>
      <c r="P143" s="458"/>
      <c r="Q143" s="454"/>
      <c r="R143" s="131" t="s">
        <v>452</v>
      </c>
      <c r="S143" s="131"/>
      <c r="T143" s="130" t="b">
        <v>1</v>
      </c>
      <c r="U143" s="130" t="b">
        <v>1</v>
      </c>
      <c r="V143" s="130" t="b">
        <v>1</v>
      </c>
      <c r="W143" s="130" t="b">
        <v>1</v>
      </c>
      <c r="X143" s="130" t="b">
        <v>1</v>
      </c>
      <c r="Y143" s="130" t="b">
        <v>1</v>
      </c>
      <c r="Z143" s="130" t="b">
        <v>1</v>
      </c>
      <c r="AA143" s="130" t="b">
        <v>1</v>
      </c>
      <c r="AB143" s="130" t="b">
        <v>1</v>
      </c>
      <c r="AC143" s="130" t="b">
        <v>1</v>
      </c>
      <c r="AD143" s="130" t="b">
        <v>1</v>
      </c>
      <c r="AE143" s="130" t="b">
        <v>1</v>
      </c>
      <c r="AF143" s="130" t="b">
        <v>1</v>
      </c>
      <c r="AG143" s="130" t="b">
        <v>1</v>
      </c>
    </row>
    <row r="144" spans="1:33" s="130" customFormat="1" ht="26.4">
      <c r="A144" s="131" t="s">
        <v>1267</v>
      </c>
      <c r="B144" s="459">
        <v>1</v>
      </c>
      <c r="C144" s="460" t="s">
        <v>309</v>
      </c>
      <c r="D144" s="461">
        <f>O144+E144+I144+M144+P144+Q144</f>
        <v>100.00000000000001</v>
      </c>
      <c r="E144" s="462">
        <f t="shared" si="89"/>
        <v>25.563297521669909</v>
      </c>
      <c r="F144" s="437">
        <v>1.0065396549685075</v>
      </c>
      <c r="G144" s="437">
        <v>4.5649019483943807</v>
      </c>
      <c r="H144" s="437">
        <v>19.991855918307021</v>
      </c>
      <c r="I144" s="461">
        <f>SUM(J144:L144)</f>
        <v>74.42818837145532</v>
      </c>
      <c r="J144" s="437">
        <v>48.209667375573808</v>
      </c>
      <c r="K144" s="437">
        <v>16.373511310085785</v>
      </c>
      <c r="L144" s="437">
        <v>9.845009685795727</v>
      </c>
      <c r="M144" s="438">
        <v>0</v>
      </c>
      <c r="N144" s="439">
        <f t="shared" ref="N144:N145" si="91">O144+P144</f>
        <v>8.5141068747850972E-3</v>
      </c>
      <c r="O144" s="440">
        <v>8.5141068747850972E-3</v>
      </c>
      <c r="P144" s="441">
        <v>0</v>
      </c>
      <c r="Q144" s="437">
        <v>0</v>
      </c>
      <c r="R144" s="131"/>
      <c r="S144" s="131"/>
      <c r="T144" s="130" t="b">
        <v>1</v>
      </c>
      <c r="U144" s="130" t="b">
        <v>1</v>
      </c>
      <c r="V144" s="130" t="b">
        <v>1</v>
      </c>
      <c r="W144" s="130" t="b">
        <v>1</v>
      </c>
      <c r="X144" s="130" t="b">
        <v>1</v>
      </c>
      <c r="Y144" s="130" t="b">
        <v>1</v>
      </c>
      <c r="Z144" s="130" t="b">
        <v>1</v>
      </c>
      <c r="AA144" s="130" t="b">
        <v>1</v>
      </c>
      <c r="AB144" s="130" t="b">
        <v>1</v>
      </c>
      <c r="AC144" s="130" t="b">
        <v>1</v>
      </c>
      <c r="AD144" s="130" t="b">
        <v>1</v>
      </c>
      <c r="AE144" s="130" t="b">
        <v>1</v>
      </c>
      <c r="AF144" s="130" t="b">
        <v>1</v>
      </c>
      <c r="AG144" s="130" t="b">
        <v>1</v>
      </c>
    </row>
    <row r="145" spans="1:33" s="130" customFormat="1" ht="15" thickBot="1">
      <c r="A145" s="131" t="s">
        <v>1268</v>
      </c>
      <c r="B145" s="463">
        <v>2</v>
      </c>
      <c r="C145" s="464" t="s">
        <v>311</v>
      </c>
      <c r="D145" s="465">
        <f>O145+E145+I145+M145+P145+Q145</f>
        <v>100.00000000000001</v>
      </c>
      <c r="E145" s="466">
        <f t="shared" si="89"/>
        <v>25.563297521669909</v>
      </c>
      <c r="F145" s="449">
        <v>1.0065396549685075</v>
      </c>
      <c r="G145" s="449">
        <v>4.5649019483943807</v>
      </c>
      <c r="H145" s="449">
        <v>19.991855918307021</v>
      </c>
      <c r="I145" s="465">
        <f>SUM(J145:L145)</f>
        <v>74.42818837145532</v>
      </c>
      <c r="J145" s="449">
        <v>48.209667375573808</v>
      </c>
      <c r="K145" s="449">
        <v>16.373511310085785</v>
      </c>
      <c r="L145" s="449">
        <v>9.845009685795727</v>
      </c>
      <c r="M145" s="446">
        <v>0</v>
      </c>
      <c r="N145" s="447">
        <f t="shared" si="91"/>
        <v>8.5141068747850972E-3</v>
      </c>
      <c r="O145" s="467">
        <v>8.5141068747850972E-3</v>
      </c>
      <c r="P145" s="448">
        <v>0</v>
      </c>
      <c r="Q145" s="449">
        <v>0</v>
      </c>
      <c r="R145" s="131"/>
      <c r="S145" s="131"/>
      <c r="T145" s="130" t="b">
        <v>1</v>
      </c>
      <c r="U145" s="130" t="b">
        <v>1</v>
      </c>
      <c r="V145" s="130" t="b">
        <v>1</v>
      </c>
      <c r="W145" s="130" t="b">
        <v>1</v>
      </c>
      <c r="X145" s="130" t="b">
        <v>1</v>
      </c>
      <c r="Y145" s="130" t="b">
        <v>1</v>
      </c>
      <c r="Z145" s="130" t="b">
        <v>1</v>
      </c>
      <c r="AA145" s="130" t="b">
        <v>1</v>
      </c>
      <c r="AB145" s="130" t="b">
        <v>1</v>
      </c>
      <c r="AC145" s="130" t="b">
        <v>1</v>
      </c>
      <c r="AD145" s="130" t="b">
        <v>1</v>
      </c>
      <c r="AE145" s="130" t="b">
        <v>1</v>
      </c>
      <c r="AF145" s="130" t="b">
        <v>1</v>
      </c>
      <c r="AG145" s="130" t="b">
        <v>1</v>
      </c>
    </row>
    <row r="146" spans="1:33" s="130" customFormat="1">
      <c r="A146" s="131"/>
      <c r="B146" s="450" t="s">
        <v>68</v>
      </c>
      <c r="C146" s="425" t="s">
        <v>1269</v>
      </c>
      <c r="D146" s="452"/>
      <c r="E146" s="453"/>
      <c r="F146" s="454"/>
      <c r="G146" s="454"/>
      <c r="H146" s="454"/>
      <c r="I146" s="452"/>
      <c r="J146" s="454"/>
      <c r="K146" s="454"/>
      <c r="L146" s="454"/>
      <c r="M146" s="455"/>
      <c r="N146" s="456"/>
      <c r="O146" s="457"/>
      <c r="P146" s="458"/>
      <c r="Q146" s="454"/>
      <c r="R146" s="131" t="s">
        <v>453</v>
      </c>
      <c r="S146" s="131"/>
      <c r="T146" s="130" t="b">
        <v>1</v>
      </c>
      <c r="U146" s="130" t="b">
        <v>1</v>
      </c>
      <c r="V146" s="130" t="b">
        <v>1</v>
      </c>
      <c r="W146" s="130" t="b">
        <v>1</v>
      </c>
      <c r="X146" s="130" t="b">
        <v>1</v>
      </c>
      <c r="Y146" s="130" t="b">
        <v>1</v>
      </c>
      <c r="Z146" s="130" t="b">
        <v>1</v>
      </c>
      <c r="AA146" s="130" t="b">
        <v>1</v>
      </c>
      <c r="AB146" s="130" t="b">
        <v>1</v>
      </c>
      <c r="AC146" s="130" t="b">
        <v>1</v>
      </c>
      <c r="AD146" s="130" t="b">
        <v>1</v>
      </c>
      <c r="AE146" s="130" t="b">
        <v>1</v>
      </c>
      <c r="AF146" s="130" t="b">
        <v>1</v>
      </c>
      <c r="AG146" s="130" t="b">
        <v>1</v>
      </c>
    </row>
    <row r="147" spans="1:33" s="130" customFormat="1" ht="15" thickBot="1">
      <c r="A147" s="131" t="s">
        <v>1270</v>
      </c>
      <c r="B147" s="468">
        <v>1</v>
      </c>
      <c r="C147" s="469" t="s">
        <v>315</v>
      </c>
      <c r="D147" s="465">
        <f>O147+E147+I147+M147+P147+Q147</f>
        <v>100.00000000000001</v>
      </c>
      <c r="E147" s="466">
        <f t="shared" si="89"/>
        <v>25.563297521669909</v>
      </c>
      <c r="F147" s="449">
        <v>1.0065396549685075</v>
      </c>
      <c r="G147" s="449">
        <v>4.5649019483943807</v>
      </c>
      <c r="H147" s="449">
        <v>19.991855918307021</v>
      </c>
      <c r="I147" s="465">
        <f>SUM(J147:L147)</f>
        <v>74.42818837145532</v>
      </c>
      <c r="J147" s="449">
        <v>48.209667375573808</v>
      </c>
      <c r="K147" s="449">
        <v>16.373511310085785</v>
      </c>
      <c r="L147" s="449">
        <v>9.845009685795727</v>
      </c>
      <c r="M147" s="446">
        <v>0</v>
      </c>
      <c r="N147" s="447">
        <f t="shared" ref="N147" si="92">O147+P147</f>
        <v>8.5141068747850972E-3</v>
      </c>
      <c r="O147" s="467">
        <v>8.5141068747850972E-3</v>
      </c>
      <c r="P147" s="448">
        <v>0</v>
      </c>
      <c r="Q147" s="449">
        <v>0</v>
      </c>
      <c r="R147" s="131"/>
      <c r="S147" s="131"/>
      <c r="T147" s="130" t="b">
        <v>1</v>
      </c>
      <c r="U147" s="130" t="b">
        <v>1</v>
      </c>
      <c r="V147" s="130" t="b">
        <v>1</v>
      </c>
      <c r="W147" s="130" t="b">
        <v>1</v>
      </c>
      <c r="X147" s="130" t="b">
        <v>1</v>
      </c>
      <c r="Y147" s="130" t="b">
        <v>1</v>
      </c>
      <c r="Z147" s="130" t="b">
        <v>1</v>
      </c>
      <c r="AA147" s="130" t="b">
        <v>1</v>
      </c>
      <c r="AB147" s="130" t="b">
        <v>1</v>
      </c>
      <c r="AC147" s="130" t="b">
        <v>1</v>
      </c>
      <c r="AD147" s="130" t="b">
        <v>1</v>
      </c>
      <c r="AE147" s="130" t="b">
        <v>1</v>
      </c>
      <c r="AF147" s="130" t="b">
        <v>1</v>
      </c>
      <c r="AG147" s="130" t="b">
        <v>1</v>
      </c>
    </row>
    <row r="148" spans="1:33" s="130" customFormat="1">
      <c r="A148" s="131"/>
      <c r="B148" s="470" t="s">
        <v>70</v>
      </c>
      <c r="C148" s="471" t="s">
        <v>1271</v>
      </c>
      <c r="D148" s="452"/>
      <c r="E148" s="453"/>
      <c r="F148" s="454"/>
      <c r="G148" s="454"/>
      <c r="H148" s="454"/>
      <c r="I148" s="452"/>
      <c r="J148" s="454"/>
      <c r="K148" s="454"/>
      <c r="L148" s="454"/>
      <c r="M148" s="455"/>
      <c r="N148" s="456"/>
      <c r="O148" s="457"/>
      <c r="P148" s="458"/>
      <c r="Q148" s="454"/>
      <c r="R148" s="131" t="s">
        <v>454</v>
      </c>
      <c r="S148" s="131"/>
      <c r="T148" s="130" t="b">
        <v>1</v>
      </c>
      <c r="U148" s="130" t="b">
        <v>1</v>
      </c>
      <c r="V148" s="130" t="b">
        <v>1</v>
      </c>
      <c r="W148" s="130" t="b">
        <v>1</v>
      </c>
      <c r="X148" s="130" t="b">
        <v>1</v>
      </c>
      <c r="Y148" s="130" t="b">
        <v>1</v>
      </c>
      <c r="Z148" s="130" t="b">
        <v>1</v>
      </c>
      <c r="AA148" s="130" t="b">
        <v>1</v>
      </c>
      <c r="AB148" s="130" t="b">
        <v>1</v>
      </c>
      <c r="AC148" s="130" t="b">
        <v>1</v>
      </c>
      <c r="AD148" s="130" t="b">
        <v>1</v>
      </c>
      <c r="AE148" s="130" t="b">
        <v>1</v>
      </c>
      <c r="AF148" s="130" t="b">
        <v>1</v>
      </c>
      <c r="AG148" s="130" t="b">
        <v>1</v>
      </c>
    </row>
    <row r="149" spans="1:33" s="130" customFormat="1">
      <c r="A149" s="131" t="s">
        <v>1272</v>
      </c>
      <c r="B149" s="459">
        <v>1</v>
      </c>
      <c r="C149" s="460" t="s">
        <v>270</v>
      </c>
      <c r="D149" s="461">
        <f t="shared" ref="D149:D154" si="93">O149+E149+I149+M149+P149+Q149</f>
        <v>100.00000000000001</v>
      </c>
      <c r="E149" s="462">
        <f t="shared" si="89"/>
        <v>25.563297521669909</v>
      </c>
      <c r="F149" s="437">
        <v>1.0065396549685075</v>
      </c>
      <c r="G149" s="437">
        <v>4.5649019483943807</v>
      </c>
      <c r="H149" s="437">
        <v>19.991855918307021</v>
      </c>
      <c r="I149" s="461">
        <f t="shared" ref="I149:I154" si="94">SUM(J149:L149)</f>
        <v>74.42818837145532</v>
      </c>
      <c r="J149" s="437">
        <v>48.209667375573808</v>
      </c>
      <c r="K149" s="437">
        <v>16.373511310085785</v>
      </c>
      <c r="L149" s="437">
        <v>9.845009685795727</v>
      </c>
      <c r="M149" s="438">
        <v>0</v>
      </c>
      <c r="N149" s="439">
        <f t="shared" ref="N149:N154" si="95">O149+P149</f>
        <v>8.5141068747850972E-3</v>
      </c>
      <c r="O149" s="440">
        <v>8.5141068747850972E-3</v>
      </c>
      <c r="P149" s="441">
        <v>0</v>
      </c>
      <c r="Q149" s="437">
        <v>0</v>
      </c>
      <c r="R149" s="131"/>
      <c r="S149" s="131"/>
      <c r="T149" s="130" t="b">
        <v>1</v>
      </c>
      <c r="U149" s="130" t="b">
        <v>1</v>
      </c>
      <c r="V149" s="130" t="b">
        <v>1</v>
      </c>
      <c r="W149" s="130" t="b">
        <v>1</v>
      </c>
      <c r="X149" s="130" t="b">
        <v>1</v>
      </c>
      <c r="Y149" s="130" t="b">
        <v>1</v>
      </c>
      <c r="Z149" s="130" t="b">
        <v>1</v>
      </c>
      <c r="AA149" s="130" t="b">
        <v>1</v>
      </c>
      <c r="AB149" s="130" t="b">
        <v>1</v>
      </c>
      <c r="AC149" s="130" t="b">
        <v>1</v>
      </c>
      <c r="AD149" s="130" t="b">
        <v>1</v>
      </c>
      <c r="AE149" s="130" t="b">
        <v>1</v>
      </c>
      <c r="AF149" s="130" t="b">
        <v>1</v>
      </c>
      <c r="AG149" s="130" t="b">
        <v>1</v>
      </c>
    </row>
    <row r="150" spans="1:33" s="130" customFormat="1">
      <c r="A150" s="131" t="s">
        <v>1273</v>
      </c>
      <c r="B150" s="459">
        <v>2</v>
      </c>
      <c r="C150" s="460" t="s">
        <v>274</v>
      </c>
      <c r="D150" s="461">
        <f t="shared" si="93"/>
        <v>100.00000000000001</v>
      </c>
      <c r="E150" s="462">
        <f t="shared" si="89"/>
        <v>25.563297521669909</v>
      </c>
      <c r="F150" s="437">
        <v>1.0065396549685075</v>
      </c>
      <c r="G150" s="437">
        <v>4.5649019483943807</v>
      </c>
      <c r="H150" s="437">
        <v>19.991855918307021</v>
      </c>
      <c r="I150" s="461">
        <f t="shared" si="94"/>
        <v>74.42818837145532</v>
      </c>
      <c r="J150" s="437">
        <v>48.209667375573808</v>
      </c>
      <c r="K150" s="437">
        <v>16.373511310085785</v>
      </c>
      <c r="L150" s="437">
        <v>9.845009685795727</v>
      </c>
      <c r="M150" s="438">
        <v>0</v>
      </c>
      <c r="N150" s="439">
        <f t="shared" si="95"/>
        <v>8.5141068747850972E-3</v>
      </c>
      <c r="O150" s="440">
        <v>8.5141068747850972E-3</v>
      </c>
      <c r="P150" s="441">
        <v>0</v>
      </c>
      <c r="Q150" s="437">
        <v>0</v>
      </c>
      <c r="R150" s="131"/>
      <c r="S150" s="131"/>
      <c r="T150" s="130" t="b">
        <v>1</v>
      </c>
      <c r="U150" s="130" t="b">
        <v>1</v>
      </c>
      <c r="V150" s="130" t="b">
        <v>1</v>
      </c>
      <c r="W150" s="130" t="b">
        <v>1</v>
      </c>
      <c r="X150" s="130" t="b">
        <v>1</v>
      </c>
      <c r="Y150" s="130" t="b">
        <v>1</v>
      </c>
      <c r="Z150" s="130" t="b">
        <v>1</v>
      </c>
      <c r="AA150" s="130" t="b">
        <v>1</v>
      </c>
      <c r="AB150" s="130" t="b">
        <v>1</v>
      </c>
      <c r="AC150" s="130" t="b">
        <v>1</v>
      </c>
      <c r="AD150" s="130" t="b">
        <v>1</v>
      </c>
      <c r="AE150" s="130" t="b">
        <v>1</v>
      </c>
      <c r="AF150" s="130" t="b">
        <v>1</v>
      </c>
      <c r="AG150" s="130" t="b">
        <v>1</v>
      </c>
    </row>
    <row r="151" spans="1:33" s="130" customFormat="1">
      <c r="A151" s="131" t="s">
        <v>1274</v>
      </c>
      <c r="B151" s="459">
        <v>3</v>
      </c>
      <c r="C151" s="460" t="s">
        <v>455</v>
      </c>
      <c r="D151" s="461">
        <f t="shared" si="93"/>
        <v>100.00000000000001</v>
      </c>
      <c r="E151" s="462">
        <f t="shared" si="89"/>
        <v>25.563297521669909</v>
      </c>
      <c r="F151" s="437">
        <v>1.0065396549685075</v>
      </c>
      <c r="G151" s="437">
        <v>4.5649019483943807</v>
      </c>
      <c r="H151" s="437">
        <v>19.991855918307021</v>
      </c>
      <c r="I151" s="461">
        <f t="shared" si="94"/>
        <v>74.42818837145532</v>
      </c>
      <c r="J151" s="437">
        <v>48.209667375573808</v>
      </c>
      <c r="K151" s="437">
        <v>16.373511310085785</v>
      </c>
      <c r="L151" s="437">
        <v>9.845009685795727</v>
      </c>
      <c r="M151" s="438">
        <v>0</v>
      </c>
      <c r="N151" s="439">
        <f t="shared" si="95"/>
        <v>8.5141068747850972E-3</v>
      </c>
      <c r="O151" s="440">
        <v>8.5141068747850972E-3</v>
      </c>
      <c r="P151" s="441">
        <v>0</v>
      </c>
      <c r="Q151" s="437">
        <v>0</v>
      </c>
      <c r="R151" s="131"/>
      <c r="S151" s="131"/>
      <c r="T151" s="130" t="b">
        <v>1</v>
      </c>
      <c r="U151" s="130" t="b">
        <v>1</v>
      </c>
      <c r="V151" s="130" t="b">
        <v>1</v>
      </c>
      <c r="W151" s="130" t="b">
        <v>1</v>
      </c>
      <c r="X151" s="130" t="b">
        <v>1</v>
      </c>
      <c r="Y151" s="130" t="b">
        <v>1</v>
      </c>
      <c r="Z151" s="130" t="b">
        <v>1</v>
      </c>
      <c r="AA151" s="130" t="b">
        <v>1</v>
      </c>
      <c r="AB151" s="130" t="b">
        <v>1</v>
      </c>
      <c r="AC151" s="130" t="b">
        <v>1</v>
      </c>
      <c r="AD151" s="130" t="b">
        <v>1</v>
      </c>
      <c r="AE151" s="130" t="b">
        <v>1</v>
      </c>
      <c r="AF151" s="130" t="b">
        <v>1</v>
      </c>
      <c r="AG151" s="130" t="b">
        <v>1</v>
      </c>
    </row>
    <row r="152" spans="1:33" s="130" customFormat="1">
      <c r="A152" s="131" t="s">
        <v>1275</v>
      </c>
      <c r="B152" s="459">
        <v>4</v>
      </c>
      <c r="C152" s="460" t="s">
        <v>456</v>
      </c>
      <c r="D152" s="461">
        <f t="shared" si="93"/>
        <v>100.00000000000001</v>
      </c>
      <c r="E152" s="462">
        <f t="shared" si="89"/>
        <v>25.563297521669909</v>
      </c>
      <c r="F152" s="437">
        <v>1.0065396549685075</v>
      </c>
      <c r="G152" s="437">
        <v>4.5649019483943807</v>
      </c>
      <c r="H152" s="437">
        <v>19.991855918307021</v>
      </c>
      <c r="I152" s="461">
        <f t="shared" si="94"/>
        <v>74.42818837145532</v>
      </c>
      <c r="J152" s="437">
        <v>48.209667375573808</v>
      </c>
      <c r="K152" s="437">
        <v>16.373511310085785</v>
      </c>
      <c r="L152" s="437">
        <v>9.845009685795727</v>
      </c>
      <c r="M152" s="438">
        <v>0</v>
      </c>
      <c r="N152" s="439">
        <f t="shared" si="95"/>
        <v>8.5141068747850972E-3</v>
      </c>
      <c r="O152" s="440">
        <v>8.5141068747850972E-3</v>
      </c>
      <c r="P152" s="441">
        <v>0</v>
      </c>
      <c r="Q152" s="437">
        <v>0</v>
      </c>
      <c r="R152" s="131"/>
      <c r="S152" s="131"/>
      <c r="T152" s="130" t="b">
        <v>1</v>
      </c>
      <c r="U152" s="130" t="b">
        <v>1</v>
      </c>
      <c r="V152" s="130" t="b">
        <v>1</v>
      </c>
      <c r="W152" s="130" t="b">
        <v>1</v>
      </c>
      <c r="X152" s="130" t="b">
        <v>1</v>
      </c>
      <c r="Y152" s="130" t="b">
        <v>1</v>
      </c>
      <c r="Z152" s="130" t="b">
        <v>1</v>
      </c>
      <c r="AA152" s="130" t="b">
        <v>1</v>
      </c>
      <c r="AB152" s="130" t="b">
        <v>1</v>
      </c>
      <c r="AC152" s="130" t="b">
        <v>1</v>
      </c>
      <c r="AD152" s="130" t="b">
        <v>1</v>
      </c>
      <c r="AE152" s="130" t="b">
        <v>1</v>
      </c>
      <c r="AF152" s="130" t="b">
        <v>1</v>
      </c>
      <c r="AG152" s="130" t="b">
        <v>1</v>
      </c>
    </row>
    <row r="153" spans="1:33" s="130" customFormat="1" ht="27" thickBot="1">
      <c r="A153" s="131" t="s">
        <v>1276</v>
      </c>
      <c r="B153" s="463">
        <v>5</v>
      </c>
      <c r="C153" s="464" t="s">
        <v>324</v>
      </c>
      <c r="D153" s="465">
        <f t="shared" si="93"/>
        <v>100.00000000000001</v>
      </c>
      <c r="E153" s="466">
        <f t="shared" si="89"/>
        <v>25.563297521669909</v>
      </c>
      <c r="F153" s="449">
        <v>1.0065396549685075</v>
      </c>
      <c r="G153" s="449">
        <v>4.5649019483943807</v>
      </c>
      <c r="H153" s="449">
        <v>19.991855918307021</v>
      </c>
      <c r="I153" s="465">
        <f t="shared" si="94"/>
        <v>74.42818837145532</v>
      </c>
      <c r="J153" s="449">
        <v>48.209667375573808</v>
      </c>
      <c r="K153" s="449">
        <v>16.373511310085785</v>
      </c>
      <c r="L153" s="449">
        <v>9.845009685795727</v>
      </c>
      <c r="M153" s="446">
        <v>0</v>
      </c>
      <c r="N153" s="447">
        <f t="shared" si="95"/>
        <v>8.5141068747850972E-3</v>
      </c>
      <c r="O153" s="467">
        <v>8.5141068747850972E-3</v>
      </c>
      <c r="P153" s="448">
        <v>0</v>
      </c>
      <c r="Q153" s="449">
        <v>0</v>
      </c>
      <c r="R153" s="131"/>
      <c r="S153" s="131"/>
      <c r="T153" s="130" t="b">
        <v>1</v>
      </c>
      <c r="U153" s="130" t="b">
        <v>1</v>
      </c>
      <c r="V153" s="130" t="b">
        <v>1</v>
      </c>
      <c r="W153" s="130" t="b">
        <v>1</v>
      </c>
      <c r="X153" s="130" t="b">
        <v>1</v>
      </c>
      <c r="Y153" s="130" t="b">
        <v>1</v>
      </c>
      <c r="Z153" s="130" t="b">
        <v>1</v>
      </c>
      <c r="AA153" s="130" t="b">
        <v>1</v>
      </c>
      <c r="AB153" s="130" t="b">
        <v>1</v>
      </c>
      <c r="AC153" s="130" t="b">
        <v>1</v>
      </c>
      <c r="AD153" s="130" t="b">
        <v>1</v>
      </c>
      <c r="AE153" s="130" t="b">
        <v>1</v>
      </c>
      <c r="AF153" s="130" t="b">
        <v>1</v>
      </c>
      <c r="AG153" s="130" t="b">
        <v>1</v>
      </c>
    </row>
    <row r="154" spans="1:33" s="130" customFormat="1" ht="15" thickBot="1">
      <c r="A154" s="131" t="s">
        <v>1277</v>
      </c>
      <c r="B154" s="472" t="s">
        <v>72</v>
      </c>
      <c r="C154" s="473" t="s">
        <v>1278</v>
      </c>
      <c r="D154" s="474">
        <f t="shared" si="93"/>
        <v>100.00000000000001</v>
      </c>
      <c r="E154" s="475">
        <f t="shared" si="89"/>
        <v>25.563297521669909</v>
      </c>
      <c r="F154" s="476">
        <v>1.0065396549685075</v>
      </c>
      <c r="G154" s="476">
        <v>4.5649019483943807</v>
      </c>
      <c r="H154" s="476">
        <v>19.991855918307021</v>
      </c>
      <c r="I154" s="474">
        <f t="shared" si="94"/>
        <v>74.42818837145532</v>
      </c>
      <c r="J154" s="476">
        <v>48.209667375573808</v>
      </c>
      <c r="K154" s="476">
        <v>16.373511310085785</v>
      </c>
      <c r="L154" s="476">
        <v>9.845009685795727</v>
      </c>
      <c r="M154" s="477">
        <v>0</v>
      </c>
      <c r="N154" s="478">
        <f t="shared" si="95"/>
        <v>8.5141068747850972E-3</v>
      </c>
      <c r="O154" s="479">
        <v>8.5141068747850972E-3</v>
      </c>
      <c r="P154" s="480">
        <v>0</v>
      </c>
      <c r="Q154" s="476">
        <v>0</v>
      </c>
      <c r="R154" s="131" t="s">
        <v>457</v>
      </c>
      <c r="S154" s="131"/>
      <c r="T154" s="130" t="b">
        <v>1</v>
      </c>
      <c r="U154" s="130" t="b">
        <v>1</v>
      </c>
      <c r="V154" s="130" t="b">
        <v>1</v>
      </c>
      <c r="W154" s="130" t="b">
        <v>1</v>
      </c>
      <c r="X154" s="130" t="b">
        <v>1</v>
      </c>
      <c r="Y154" s="130" t="b">
        <v>1</v>
      </c>
      <c r="Z154" s="130" t="b">
        <v>1</v>
      </c>
      <c r="AA154" s="130" t="b">
        <v>1</v>
      </c>
      <c r="AB154" s="130" t="b">
        <v>1</v>
      </c>
      <c r="AC154" s="130" t="b">
        <v>1</v>
      </c>
      <c r="AD154" s="130" t="b">
        <v>1</v>
      </c>
      <c r="AE154" s="130" t="b">
        <v>1</v>
      </c>
      <c r="AF154" s="130" t="b">
        <v>1</v>
      </c>
      <c r="AG154" s="130" t="b">
        <v>1</v>
      </c>
    </row>
    <row r="155" spans="1:33" s="130" customFormat="1">
      <c r="A155" s="131"/>
      <c r="B155" s="450" t="s">
        <v>458</v>
      </c>
      <c r="C155" s="451" t="s">
        <v>1279</v>
      </c>
      <c r="D155" s="452"/>
      <c r="E155" s="453"/>
      <c r="F155" s="454"/>
      <c r="G155" s="454"/>
      <c r="H155" s="454"/>
      <c r="I155" s="452"/>
      <c r="J155" s="454"/>
      <c r="K155" s="454"/>
      <c r="L155" s="454"/>
      <c r="M155" s="455"/>
      <c r="N155" s="456"/>
      <c r="O155" s="457"/>
      <c r="P155" s="458"/>
      <c r="Q155" s="454"/>
      <c r="R155" s="131" t="s">
        <v>459</v>
      </c>
      <c r="S155" s="131"/>
      <c r="T155" s="130" t="b">
        <v>1</v>
      </c>
      <c r="U155" s="130" t="b">
        <v>1</v>
      </c>
      <c r="V155" s="130" t="b">
        <v>1</v>
      </c>
      <c r="W155" s="130" t="b">
        <v>1</v>
      </c>
      <c r="X155" s="130" t="b">
        <v>1</v>
      </c>
      <c r="Y155" s="130" t="b">
        <v>1</v>
      </c>
      <c r="Z155" s="130" t="b">
        <v>1</v>
      </c>
      <c r="AA155" s="130" t="b">
        <v>1</v>
      </c>
      <c r="AB155" s="130" t="b">
        <v>1</v>
      </c>
      <c r="AC155" s="130" t="b">
        <v>1</v>
      </c>
      <c r="AD155" s="130" t="b">
        <v>1</v>
      </c>
      <c r="AE155" s="130" t="b">
        <v>1</v>
      </c>
      <c r="AF155" s="130" t="b">
        <v>1</v>
      </c>
      <c r="AG155" s="130" t="b">
        <v>1</v>
      </c>
    </row>
    <row r="156" spans="1:33" s="130" customFormat="1">
      <c r="A156" s="131" t="s">
        <v>1280</v>
      </c>
      <c r="B156" s="459">
        <v>1</v>
      </c>
      <c r="C156" s="460" t="s">
        <v>278</v>
      </c>
      <c r="D156" s="461">
        <f>O156+E156+I156+M156+P156+Q156</f>
        <v>100.00000000000001</v>
      </c>
      <c r="E156" s="462">
        <f t="shared" si="89"/>
        <v>25.563297521669909</v>
      </c>
      <c r="F156" s="437">
        <v>1.0065396549685075</v>
      </c>
      <c r="G156" s="437">
        <v>4.5649019483943807</v>
      </c>
      <c r="H156" s="437">
        <v>19.991855918307021</v>
      </c>
      <c r="I156" s="461">
        <f>SUM(J156:L156)</f>
        <v>74.42818837145532</v>
      </c>
      <c r="J156" s="437">
        <v>48.209667375573808</v>
      </c>
      <c r="K156" s="437">
        <v>16.373511310085785</v>
      </c>
      <c r="L156" s="437">
        <v>9.845009685795727</v>
      </c>
      <c r="M156" s="438">
        <v>0</v>
      </c>
      <c r="N156" s="439">
        <f t="shared" ref="N156:N159" si="96">O156+P156</f>
        <v>8.5141068747850972E-3</v>
      </c>
      <c r="O156" s="440">
        <v>8.5141068747850972E-3</v>
      </c>
      <c r="P156" s="441">
        <v>0</v>
      </c>
      <c r="Q156" s="437">
        <v>0</v>
      </c>
      <c r="R156" s="131"/>
      <c r="S156" s="131"/>
      <c r="T156" s="130" t="b">
        <v>1</v>
      </c>
      <c r="U156" s="130" t="b">
        <v>1</v>
      </c>
      <c r="V156" s="130" t="b">
        <v>1</v>
      </c>
      <c r="W156" s="130" t="b">
        <v>1</v>
      </c>
      <c r="X156" s="130" t="b">
        <v>1</v>
      </c>
      <c r="Y156" s="130" t="b">
        <v>1</v>
      </c>
      <c r="Z156" s="130" t="b">
        <v>1</v>
      </c>
      <c r="AA156" s="130" t="b">
        <v>1</v>
      </c>
      <c r="AB156" s="130" t="b">
        <v>1</v>
      </c>
      <c r="AC156" s="130" t="b">
        <v>1</v>
      </c>
      <c r="AD156" s="130" t="b">
        <v>1</v>
      </c>
      <c r="AE156" s="130" t="b">
        <v>1</v>
      </c>
      <c r="AF156" s="130" t="b">
        <v>1</v>
      </c>
      <c r="AG156" s="130" t="b">
        <v>1</v>
      </c>
    </row>
    <row r="157" spans="1:33" s="130" customFormat="1">
      <c r="A157" s="131" t="s">
        <v>1281</v>
      </c>
      <c r="B157" s="459">
        <v>2</v>
      </c>
      <c r="C157" s="481" t="s">
        <v>332</v>
      </c>
      <c r="D157" s="461">
        <f>O157+E157+I157+M157+P157+Q157</f>
        <v>100.00000000000001</v>
      </c>
      <c r="E157" s="462">
        <f t="shared" si="89"/>
        <v>25.563297521669909</v>
      </c>
      <c r="F157" s="437">
        <v>1.0065396549685075</v>
      </c>
      <c r="G157" s="437">
        <v>4.5649019483943807</v>
      </c>
      <c r="H157" s="437">
        <v>19.991855918307021</v>
      </c>
      <c r="I157" s="461">
        <f>SUM(J157:L157)</f>
        <v>74.42818837145532</v>
      </c>
      <c r="J157" s="437">
        <v>48.209667375573808</v>
      </c>
      <c r="K157" s="437">
        <v>16.373511310085785</v>
      </c>
      <c r="L157" s="437">
        <v>9.845009685795727</v>
      </c>
      <c r="M157" s="438">
        <v>0</v>
      </c>
      <c r="N157" s="439">
        <f t="shared" si="96"/>
        <v>8.5141068747850972E-3</v>
      </c>
      <c r="O157" s="440">
        <v>8.5141068747850972E-3</v>
      </c>
      <c r="P157" s="441">
        <v>0</v>
      </c>
      <c r="Q157" s="437">
        <v>0</v>
      </c>
      <c r="R157" s="131"/>
      <c r="S157" s="131"/>
      <c r="T157" s="130" t="b">
        <v>1</v>
      </c>
      <c r="U157" s="130" t="b">
        <v>1</v>
      </c>
      <c r="V157" s="130" t="b">
        <v>1</v>
      </c>
      <c r="W157" s="130" t="b">
        <v>1</v>
      </c>
      <c r="X157" s="130" t="b">
        <v>1</v>
      </c>
      <c r="Y157" s="130" t="b">
        <v>1</v>
      </c>
      <c r="Z157" s="130" t="b">
        <v>1</v>
      </c>
      <c r="AA157" s="130" t="b">
        <v>1</v>
      </c>
      <c r="AB157" s="130" t="b">
        <v>1</v>
      </c>
      <c r="AC157" s="130" t="b">
        <v>1</v>
      </c>
      <c r="AD157" s="130" t="b">
        <v>1</v>
      </c>
      <c r="AE157" s="130" t="b">
        <v>1</v>
      </c>
      <c r="AF157" s="130" t="b">
        <v>1</v>
      </c>
      <c r="AG157" s="130" t="b">
        <v>1</v>
      </c>
    </row>
    <row r="158" spans="1:33" s="130" customFormat="1">
      <c r="A158" s="131" t="s">
        <v>1282</v>
      </c>
      <c r="B158" s="459">
        <v>3</v>
      </c>
      <c r="C158" s="460" t="s">
        <v>460</v>
      </c>
      <c r="D158" s="461">
        <f>O158+E158+I158+M158+P158+Q158</f>
        <v>100.00000000000001</v>
      </c>
      <c r="E158" s="462">
        <f t="shared" si="89"/>
        <v>25.563297521669909</v>
      </c>
      <c r="F158" s="437">
        <v>1.0065396549685075</v>
      </c>
      <c r="G158" s="437">
        <v>4.5649019483943807</v>
      </c>
      <c r="H158" s="437">
        <v>19.991855918307021</v>
      </c>
      <c r="I158" s="461">
        <f>SUM(J158:L158)</f>
        <v>74.42818837145532</v>
      </c>
      <c r="J158" s="437">
        <v>48.209667375573808</v>
      </c>
      <c r="K158" s="437">
        <v>16.373511310085785</v>
      </c>
      <c r="L158" s="437">
        <v>9.845009685795727</v>
      </c>
      <c r="M158" s="438">
        <v>0</v>
      </c>
      <c r="N158" s="439">
        <f t="shared" si="96"/>
        <v>8.5141068747850972E-3</v>
      </c>
      <c r="O158" s="440">
        <v>8.5141068747850972E-3</v>
      </c>
      <c r="P158" s="441">
        <v>0</v>
      </c>
      <c r="Q158" s="437">
        <v>0</v>
      </c>
      <c r="R158" s="131"/>
      <c r="S158" s="131"/>
      <c r="T158" s="130" t="b">
        <v>1</v>
      </c>
      <c r="U158" s="130" t="b">
        <v>1</v>
      </c>
      <c r="V158" s="130" t="b">
        <v>1</v>
      </c>
      <c r="W158" s="130" t="b">
        <v>1</v>
      </c>
      <c r="X158" s="130" t="b">
        <v>1</v>
      </c>
      <c r="Y158" s="130" t="b">
        <v>1</v>
      </c>
      <c r="Z158" s="130" t="b">
        <v>1</v>
      </c>
      <c r="AA158" s="130" t="b">
        <v>1</v>
      </c>
      <c r="AB158" s="130" t="b">
        <v>1</v>
      </c>
      <c r="AC158" s="130" t="b">
        <v>1</v>
      </c>
      <c r="AD158" s="130" t="b">
        <v>1</v>
      </c>
      <c r="AE158" s="130" t="b">
        <v>1</v>
      </c>
      <c r="AF158" s="130" t="b">
        <v>1</v>
      </c>
      <c r="AG158" s="130" t="b">
        <v>1</v>
      </c>
    </row>
    <row r="159" spans="1:33" s="130" customFormat="1" ht="15" thickBot="1">
      <c r="A159" s="131" t="s">
        <v>1283</v>
      </c>
      <c r="B159" s="463">
        <v>4</v>
      </c>
      <c r="C159" s="464" t="s">
        <v>461</v>
      </c>
      <c r="D159" s="465">
        <f>O159+E159+I159+M159+P159+Q159</f>
        <v>100.00000000000001</v>
      </c>
      <c r="E159" s="466">
        <f t="shared" si="89"/>
        <v>25.563297521669909</v>
      </c>
      <c r="F159" s="449">
        <v>1.0065396549685075</v>
      </c>
      <c r="G159" s="449">
        <v>4.5649019483943807</v>
      </c>
      <c r="H159" s="449">
        <v>19.991855918307021</v>
      </c>
      <c r="I159" s="465">
        <f>SUM(J159:L159)</f>
        <v>74.42818837145532</v>
      </c>
      <c r="J159" s="449">
        <v>48.209667375573808</v>
      </c>
      <c r="K159" s="449">
        <v>16.373511310085785</v>
      </c>
      <c r="L159" s="449">
        <v>9.845009685795727</v>
      </c>
      <c r="M159" s="446">
        <v>0</v>
      </c>
      <c r="N159" s="447">
        <f t="shared" si="96"/>
        <v>8.5141068747850972E-3</v>
      </c>
      <c r="O159" s="467">
        <v>8.5141068747850972E-3</v>
      </c>
      <c r="P159" s="448">
        <v>0</v>
      </c>
      <c r="Q159" s="449">
        <v>0</v>
      </c>
      <c r="R159" s="131"/>
      <c r="S159" s="131"/>
      <c r="T159" s="130" t="b">
        <v>1</v>
      </c>
      <c r="U159" s="130" t="b">
        <v>1</v>
      </c>
      <c r="V159" s="130" t="b">
        <v>1</v>
      </c>
      <c r="W159" s="130" t="b">
        <v>1</v>
      </c>
      <c r="X159" s="130" t="b">
        <v>1</v>
      </c>
      <c r="Y159" s="130" t="b">
        <v>1</v>
      </c>
      <c r="Z159" s="130" t="b">
        <v>1</v>
      </c>
      <c r="AA159" s="130" t="b">
        <v>1</v>
      </c>
      <c r="AB159" s="130" t="b">
        <v>1</v>
      </c>
      <c r="AC159" s="130" t="b">
        <v>1</v>
      </c>
      <c r="AD159" s="130" t="b">
        <v>1</v>
      </c>
      <c r="AE159" s="130" t="b">
        <v>1</v>
      </c>
      <c r="AF159" s="130" t="b">
        <v>1</v>
      </c>
      <c r="AG159" s="130" t="b">
        <v>1</v>
      </c>
    </row>
    <row r="160" spans="1:33" s="130" customFormat="1">
      <c r="A160" s="131"/>
      <c r="B160" s="450" t="s">
        <v>462</v>
      </c>
      <c r="C160" s="451" t="s">
        <v>1284</v>
      </c>
      <c r="D160" s="452"/>
      <c r="E160" s="453"/>
      <c r="F160" s="454"/>
      <c r="G160" s="454"/>
      <c r="H160" s="454"/>
      <c r="I160" s="452"/>
      <c r="J160" s="454"/>
      <c r="K160" s="454"/>
      <c r="L160" s="454"/>
      <c r="M160" s="455"/>
      <c r="N160" s="456"/>
      <c r="O160" s="457"/>
      <c r="P160" s="458"/>
      <c r="Q160" s="454"/>
      <c r="R160" s="131" t="s">
        <v>463</v>
      </c>
      <c r="S160" s="131"/>
      <c r="T160" s="130" t="b">
        <v>1</v>
      </c>
      <c r="U160" s="130" t="b">
        <v>1</v>
      </c>
      <c r="V160" s="130" t="b">
        <v>1</v>
      </c>
      <c r="W160" s="130" t="b">
        <v>1</v>
      </c>
      <c r="X160" s="130" t="b">
        <v>1</v>
      </c>
      <c r="Y160" s="130" t="b">
        <v>1</v>
      </c>
      <c r="Z160" s="130" t="b">
        <v>1</v>
      </c>
      <c r="AA160" s="130" t="b">
        <v>1</v>
      </c>
      <c r="AB160" s="130" t="b">
        <v>1</v>
      </c>
      <c r="AC160" s="130" t="b">
        <v>1</v>
      </c>
      <c r="AD160" s="130" t="b">
        <v>1</v>
      </c>
      <c r="AE160" s="130" t="b">
        <v>1</v>
      </c>
      <c r="AF160" s="130" t="b">
        <v>1</v>
      </c>
      <c r="AG160" s="130" t="b">
        <v>1</v>
      </c>
    </row>
    <row r="161" spans="1:33" s="130" customFormat="1">
      <c r="A161" s="131" t="s">
        <v>1285</v>
      </c>
      <c r="B161" s="459">
        <v>1</v>
      </c>
      <c r="C161" s="460" t="s">
        <v>464</v>
      </c>
      <c r="D161" s="461">
        <f>O161+E161+I161+M161+P161+Q161</f>
        <v>100.00000000000001</v>
      </c>
      <c r="E161" s="462">
        <f t="shared" si="89"/>
        <v>25.563297521669909</v>
      </c>
      <c r="F161" s="437">
        <v>1.0065396549685075</v>
      </c>
      <c r="G161" s="437">
        <v>4.5649019483943807</v>
      </c>
      <c r="H161" s="437">
        <v>19.991855918307021</v>
      </c>
      <c r="I161" s="461">
        <f>SUM(J161:L161)</f>
        <v>74.42818837145532</v>
      </c>
      <c r="J161" s="437">
        <v>48.209667375573808</v>
      </c>
      <c r="K161" s="437">
        <v>16.373511310085785</v>
      </c>
      <c r="L161" s="437">
        <v>9.845009685795727</v>
      </c>
      <c r="M161" s="438">
        <v>0</v>
      </c>
      <c r="N161" s="439">
        <f t="shared" ref="N161:N163" si="97">O161+P161</f>
        <v>8.5141068747850972E-3</v>
      </c>
      <c r="O161" s="440">
        <v>8.5141068747850972E-3</v>
      </c>
      <c r="P161" s="441">
        <v>0</v>
      </c>
      <c r="Q161" s="437">
        <v>0</v>
      </c>
      <c r="R161" s="131"/>
      <c r="S161" s="131"/>
      <c r="T161" s="130" t="b">
        <v>1</v>
      </c>
      <c r="U161" s="130" t="b">
        <v>1</v>
      </c>
      <c r="V161" s="130" t="b">
        <v>1</v>
      </c>
      <c r="W161" s="130" t="b">
        <v>1</v>
      </c>
      <c r="X161" s="130" t="b">
        <v>1</v>
      </c>
      <c r="Y161" s="130" t="b">
        <v>1</v>
      </c>
      <c r="Z161" s="130" t="b">
        <v>1</v>
      </c>
      <c r="AA161" s="130" t="b">
        <v>1</v>
      </c>
      <c r="AB161" s="130" t="b">
        <v>1</v>
      </c>
      <c r="AC161" s="130" t="b">
        <v>1</v>
      </c>
      <c r="AD161" s="130" t="b">
        <v>1</v>
      </c>
      <c r="AE161" s="130" t="b">
        <v>1</v>
      </c>
      <c r="AF161" s="130" t="b">
        <v>1</v>
      </c>
      <c r="AG161" s="130" t="b">
        <v>1</v>
      </c>
    </row>
    <row r="162" spans="1:33" s="130" customFormat="1">
      <c r="A162" s="131" t="s">
        <v>1286</v>
      </c>
      <c r="B162" s="463">
        <v>2</v>
      </c>
      <c r="C162" s="464" t="s">
        <v>465</v>
      </c>
      <c r="D162" s="461">
        <f>O162+E162+I162+M162+P162+Q162</f>
        <v>100.00000000000001</v>
      </c>
      <c r="E162" s="462">
        <f t="shared" si="89"/>
        <v>25.563297521669909</v>
      </c>
      <c r="F162" s="482">
        <v>1.0065396549685075</v>
      </c>
      <c r="G162" s="482">
        <v>4.5649019483943807</v>
      </c>
      <c r="H162" s="482">
        <v>19.991855918307021</v>
      </c>
      <c r="I162" s="461">
        <f>SUM(J162:L162)</f>
        <v>74.42818837145532</v>
      </c>
      <c r="J162" s="482">
        <v>48.209667375573808</v>
      </c>
      <c r="K162" s="482">
        <v>16.373511310085785</v>
      </c>
      <c r="L162" s="482">
        <v>9.845009685795727</v>
      </c>
      <c r="M162" s="483">
        <v>0</v>
      </c>
      <c r="N162" s="484">
        <f t="shared" si="97"/>
        <v>8.5141068747850972E-3</v>
      </c>
      <c r="O162" s="485">
        <v>8.5141068747850972E-3</v>
      </c>
      <c r="P162" s="486">
        <v>0</v>
      </c>
      <c r="Q162" s="482">
        <v>0</v>
      </c>
      <c r="R162" s="131"/>
      <c r="S162" s="131"/>
      <c r="T162" s="130" t="b">
        <v>1</v>
      </c>
      <c r="U162" s="130" t="b">
        <v>1</v>
      </c>
      <c r="V162" s="130" t="b">
        <v>1</v>
      </c>
      <c r="W162" s="130" t="b">
        <v>1</v>
      </c>
      <c r="X162" s="130" t="b">
        <v>1</v>
      </c>
      <c r="Y162" s="130" t="b">
        <v>1</v>
      </c>
      <c r="Z162" s="130" t="b">
        <v>1</v>
      </c>
      <c r="AA162" s="130" t="b">
        <v>1</v>
      </c>
      <c r="AB162" s="130" t="b">
        <v>1</v>
      </c>
      <c r="AC162" s="130" t="b">
        <v>1</v>
      </c>
      <c r="AD162" s="130" t="b">
        <v>1</v>
      </c>
      <c r="AE162" s="130" t="b">
        <v>1</v>
      </c>
      <c r="AF162" s="130" t="b">
        <v>1</v>
      </c>
      <c r="AG162" s="130" t="b">
        <v>1</v>
      </c>
    </row>
    <row r="163" spans="1:33" s="130" customFormat="1" ht="15" thickBot="1">
      <c r="A163" s="131" t="s">
        <v>1287</v>
      </c>
      <c r="B163" s="463">
        <v>3</v>
      </c>
      <c r="C163" s="464" t="s">
        <v>348</v>
      </c>
      <c r="D163" s="465">
        <f>O163+E163+I163+M163+P163+Q163</f>
        <v>100.00000000000001</v>
      </c>
      <c r="E163" s="466">
        <f t="shared" si="89"/>
        <v>25.563297521669909</v>
      </c>
      <c r="F163" s="449">
        <v>1.0065396549685075</v>
      </c>
      <c r="G163" s="449">
        <v>4.5649019483943807</v>
      </c>
      <c r="H163" s="449">
        <v>19.991855918307021</v>
      </c>
      <c r="I163" s="465">
        <f>SUM(J163:L163)</f>
        <v>74.42818837145532</v>
      </c>
      <c r="J163" s="449">
        <v>48.209667375573808</v>
      </c>
      <c r="K163" s="449">
        <v>16.373511310085785</v>
      </c>
      <c r="L163" s="449">
        <v>9.845009685795727</v>
      </c>
      <c r="M163" s="446">
        <v>0</v>
      </c>
      <c r="N163" s="447">
        <f t="shared" si="97"/>
        <v>8.5141068747850972E-3</v>
      </c>
      <c r="O163" s="467">
        <v>8.5141068747850972E-3</v>
      </c>
      <c r="P163" s="448">
        <v>0</v>
      </c>
      <c r="Q163" s="449">
        <v>0</v>
      </c>
      <c r="R163" s="131"/>
      <c r="S163" s="131"/>
      <c r="T163" s="130" t="b">
        <v>1</v>
      </c>
      <c r="U163" s="130" t="b">
        <v>1</v>
      </c>
      <c r="V163" s="130" t="b">
        <v>1</v>
      </c>
      <c r="W163" s="130" t="b">
        <v>1</v>
      </c>
      <c r="X163" s="130" t="b">
        <v>1</v>
      </c>
      <c r="Y163" s="130" t="b">
        <v>1</v>
      </c>
      <c r="Z163" s="130" t="b">
        <v>1</v>
      </c>
      <c r="AA163" s="130" t="b">
        <v>1</v>
      </c>
      <c r="AB163" s="130" t="b">
        <v>1</v>
      </c>
      <c r="AC163" s="130" t="b">
        <v>1</v>
      </c>
      <c r="AD163" s="130" t="b">
        <v>1</v>
      </c>
      <c r="AE163" s="130" t="b">
        <v>1</v>
      </c>
      <c r="AF163" s="130" t="b">
        <v>1</v>
      </c>
      <c r="AG163" s="130" t="b">
        <v>1</v>
      </c>
    </row>
    <row r="164" spans="1:33" s="130" customFormat="1">
      <c r="A164" s="131"/>
      <c r="B164" s="450" t="s">
        <v>466</v>
      </c>
      <c r="C164" s="451" t="s">
        <v>1288</v>
      </c>
      <c r="D164" s="452"/>
      <c r="E164" s="453"/>
      <c r="F164" s="454"/>
      <c r="G164" s="454"/>
      <c r="H164" s="454"/>
      <c r="I164" s="452"/>
      <c r="J164" s="454"/>
      <c r="K164" s="454"/>
      <c r="L164" s="454"/>
      <c r="M164" s="455"/>
      <c r="N164" s="456"/>
      <c r="O164" s="457"/>
      <c r="P164" s="458"/>
      <c r="Q164" s="454"/>
      <c r="R164" s="131" t="s">
        <v>467</v>
      </c>
      <c r="S164" s="131"/>
      <c r="T164" s="130" t="b">
        <v>1</v>
      </c>
      <c r="U164" s="130" t="b">
        <v>1</v>
      </c>
      <c r="V164" s="130" t="b">
        <v>1</v>
      </c>
      <c r="W164" s="130" t="b">
        <v>1</v>
      </c>
      <c r="X164" s="130" t="b">
        <v>1</v>
      </c>
      <c r="Y164" s="130" t="b">
        <v>1</v>
      </c>
      <c r="Z164" s="130" t="b">
        <v>1</v>
      </c>
      <c r="AA164" s="130" t="b">
        <v>1</v>
      </c>
      <c r="AB164" s="130" t="b">
        <v>1</v>
      </c>
      <c r="AC164" s="130" t="b">
        <v>1</v>
      </c>
      <c r="AD164" s="130" t="b">
        <v>1</v>
      </c>
      <c r="AE164" s="130" t="b">
        <v>1</v>
      </c>
      <c r="AF164" s="130" t="b">
        <v>1</v>
      </c>
      <c r="AG164" s="130" t="b">
        <v>1</v>
      </c>
    </row>
    <row r="165" spans="1:33" s="130" customFormat="1">
      <c r="A165" s="131" t="s">
        <v>1289</v>
      </c>
      <c r="B165" s="459">
        <v>1</v>
      </c>
      <c r="C165" s="460" t="s">
        <v>468</v>
      </c>
      <c r="D165" s="461">
        <f>O165+E165+I165+M165+P165+Q165</f>
        <v>100.00000000000001</v>
      </c>
      <c r="E165" s="462">
        <f t="shared" si="89"/>
        <v>25.563297521669909</v>
      </c>
      <c r="F165" s="437">
        <v>1.0065396549685075</v>
      </c>
      <c r="G165" s="437">
        <v>4.5649019483943807</v>
      </c>
      <c r="H165" s="437">
        <v>19.991855918307021</v>
      </c>
      <c r="I165" s="461">
        <f>SUM(J165:L165)</f>
        <v>74.42818837145532</v>
      </c>
      <c r="J165" s="437">
        <v>48.209667375573808</v>
      </c>
      <c r="K165" s="437">
        <v>16.373511310085785</v>
      </c>
      <c r="L165" s="437">
        <v>9.845009685795727</v>
      </c>
      <c r="M165" s="438">
        <v>0</v>
      </c>
      <c r="N165" s="439">
        <f t="shared" ref="N165:N166" si="98">O165+P165</f>
        <v>8.5141068747850972E-3</v>
      </c>
      <c r="O165" s="440">
        <v>8.5141068747850972E-3</v>
      </c>
      <c r="P165" s="441">
        <v>0</v>
      </c>
      <c r="Q165" s="437">
        <v>0</v>
      </c>
      <c r="R165" s="131"/>
      <c r="S165" s="131"/>
      <c r="T165" s="130" t="b">
        <v>1</v>
      </c>
      <c r="U165" s="130" t="b">
        <v>1</v>
      </c>
      <c r="V165" s="130" t="b">
        <v>1</v>
      </c>
      <c r="W165" s="130" t="b">
        <v>1</v>
      </c>
      <c r="X165" s="130" t="b">
        <v>1</v>
      </c>
      <c r="Y165" s="130" t="b">
        <v>1</v>
      </c>
      <c r="Z165" s="130" t="b">
        <v>1</v>
      </c>
      <c r="AA165" s="130" t="b">
        <v>1</v>
      </c>
      <c r="AB165" s="130" t="b">
        <v>1</v>
      </c>
      <c r="AC165" s="130" t="b">
        <v>1</v>
      </c>
      <c r="AD165" s="130" t="b">
        <v>1</v>
      </c>
      <c r="AE165" s="130" t="b">
        <v>1</v>
      </c>
      <c r="AF165" s="130" t="b">
        <v>1</v>
      </c>
      <c r="AG165" s="130" t="b">
        <v>1</v>
      </c>
    </row>
    <row r="166" spans="1:33" s="130" customFormat="1" ht="15" thickBot="1">
      <c r="A166" s="131" t="s">
        <v>1290</v>
      </c>
      <c r="B166" s="463">
        <v>2</v>
      </c>
      <c r="C166" s="464" t="s">
        <v>469</v>
      </c>
      <c r="D166" s="465">
        <f>O166+E166+I166+M166+P166+Q166</f>
        <v>100.00000000000001</v>
      </c>
      <c r="E166" s="466">
        <f t="shared" si="89"/>
        <v>25.563297521669909</v>
      </c>
      <c r="F166" s="449">
        <v>1.0065396549685075</v>
      </c>
      <c r="G166" s="449">
        <v>4.5649019483943807</v>
      </c>
      <c r="H166" s="449">
        <v>19.991855918307021</v>
      </c>
      <c r="I166" s="465">
        <f>SUM(J166:L166)</f>
        <v>74.42818837145532</v>
      </c>
      <c r="J166" s="449">
        <v>48.209667375573808</v>
      </c>
      <c r="K166" s="449">
        <v>16.373511310085785</v>
      </c>
      <c r="L166" s="449">
        <v>9.845009685795727</v>
      </c>
      <c r="M166" s="446">
        <v>0</v>
      </c>
      <c r="N166" s="447">
        <f t="shared" si="98"/>
        <v>8.5141068747850972E-3</v>
      </c>
      <c r="O166" s="467">
        <v>8.5141068747850972E-3</v>
      </c>
      <c r="P166" s="448">
        <v>0</v>
      </c>
      <c r="Q166" s="449">
        <v>0</v>
      </c>
      <c r="R166" s="131"/>
      <c r="S166" s="131"/>
      <c r="T166" s="130" t="b">
        <v>1</v>
      </c>
      <c r="U166" s="130" t="b">
        <v>1</v>
      </c>
      <c r="V166" s="130" t="b">
        <v>1</v>
      </c>
      <c r="W166" s="130" t="b">
        <v>1</v>
      </c>
      <c r="X166" s="130" t="b">
        <v>1</v>
      </c>
      <c r="Y166" s="130" t="b">
        <v>1</v>
      </c>
      <c r="Z166" s="130" t="b">
        <v>1</v>
      </c>
      <c r="AA166" s="130" t="b">
        <v>1</v>
      </c>
      <c r="AB166" s="130" t="b">
        <v>1</v>
      </c>
      <c r="AC166" s="130" t="b">
        <v>1</v>
      </c>
      <c r="AD166" s="130" t="b">
        <v>1</v>
      </c>
      <c r="AE166" s="130" t="b">
        <v>1</v>
      </c>
      <c r="AF166" s="130" t="b">
        <v>1</v>
      </c>
      <c r="AG166" s="130" t="b">
        <v>1</v>
      </c>
    </row>
    <row r="167" spans="1:33" s="130" customFormat="1">
      <c r="A167" s="131"/>
      <c r="B167" s="450" t="s">
        <v>470</v>
      </c>
      <c r="C167" s="451" t="s">
        <v>1291</v>
      </c>
      <c r="D167" s="452"/>
      <c r="E167" s="453"/>
      <c r="F167" s="454"/>
      <c r="G167" s="454"/>
      <c r="H167" s="454"/>
      <c r="I167" s="452"/>
      <c r="J167" s="454"/>
      <c r="K167" s="454"/>
      <c r="L167" s="454"/>
      <c r="M167" s="455"/>
      <c r="N167" s="456"/>
      <c r="O167" s="457"/>
      <c r="P167" s="458"/>
      <c r="Q167" s="454"/>
      <c r="R167" s="131" t="s">
        <v>471</v>
      </c>
      <c r="S167" s="131"/>
      <c r="T167" s="130" t="b">
        <v>1</v>
      </c>
      <c r="U167" s="130" t="b">
        <v>1</v>
      </c>
      <c r="V167" s="130" t="b">
        <v>1</v>
      </c>
      <c r="W167" s="130" t="b">
        <v>1</v>
      </c>
      <c r="X167" s="130" t="b">
        <v>1</v>
      </c>
      <c r="Y167" s="130" t="b">
        <v>1</v>
      </c>
      <c r="Z167" s="130" t="b">
        <v>1</v>
      </c>
      <c r="AA167" s="130" t="b">
        <v>1</v>
      </c>
      <c r="AB167" s="130" t="b">
        <v>1</v>
      </c>
      <c r="AC167" s="130" t="b">
        <v>1</v>
      </c>
      <c r="AD167" s="130" t="b">
        <v>1</v>
      </c>
      <c r="AE167" s="130" t="b">
        <v>1</v>
      </c>
      <c r="AF167" s="130" t="b">
        <v>1</v>
      </c>
      <c r="AG167" s="130" t="b">
        <v>1</v>
      </c>
    </row>
    <row r="168" spans="1:33" s="130" customFormat="1">
      <c r="A168" s="131" t="s">
        <v>1292</v>
      </c>
      <c r="B168" s="459">
        <v>1</v>
      </c>
      <c r="C168" s="460" t="s">
        <v>472</v>
      </c>
      <c r="D168" s="461">
        <f t="shared" ref="D168:D183" si="99">O168+E168+I168+M168+P168+Q168</f>
        <v>100.00000000000001</v>
      </c>
      <c r="E168" s="462">
        <f t="shared" si="89"/>
        <v>25.563297521669909</v>
      </c>
      <c r="F168" s="437">
        <v>1.0065396549685075</v>
      </c>
      <c r="G168" s="437">
        <v>4.5649019483943807</v>
      </c>
      <c r="H168" s="437">
        <v>19.991855918307021</v>
      </c>
      <c r="I168" s="461">
        <f t="shared" ref="I168:I183" si="100">SUM(J168:L168)</f>
        <v>74.42818837145532</v>
      </c>
      <c r="J168" s="437">
        <v>48.209667375573808</v>
      </c>
      <c r="K168" s="437">
        <v>16.373511310085785</v>
      </c>
      <c r="L168" s="437">
        <v>9.845009685795727</v>
      </c>
      <c r="M168" s="438">
        <v>0</v>
      </c>
      <c r="N168" s="439">
        <f t="shared" ref="N168:N231" si="101">O168+P168</f>
        <v>8.5141068747850972E-3</v>
      </c>
      <c r="O168" s="440">
        <v>8.5141068747850972E-3</v>
      </c>
      <c r="P168" s="441">
        <v>0</v>
      </c>
      <c r="Q168" s="437">
        <v>0</v>
      </c>
      <c r="R168" s="131"/>
      <c r="S168" s="131"/>
      <c r="T168" s="130" t="b">
        <v>1</v>
      </c>
      <c r="U168" s="130" t="b">
        <v>1</v>
      </c>
      <c r="V168" s="130" t="b">
        <v>1</v>
      </c>
      <c r="W168" s="130" t="b">
        <v>1</v>
      </c>
      <c r="X168" s="130" t="b">
        <v>1</v>
      </c>
      <c r="Y168" s="130" t="b">
        <v>1</v>
      </c>
      <c r="Z168" s="130" t="b">
        <v>1</v>
      </c>
      <c r="AA168" s="130" t="b">
        <v>1</v>
      </c>
      <c r="AB168" s="130" t="b">
        <v>1</v>
      </c>
      <c r="AC168" s="130" t="b">
        <v>1</v>
      </c>
      <c r="AD168" s="130" t="b">
        <v>1</v>
      </c>
      <c r="AE168" s="130" t="b">
        <v>1</v>
      </c>
      <c r="AF168" s="130" t="b">
        <v>1</v>
      </c>
      <c r="AG168" s="130" t="b">
        <v>1</v>
      </c>
    </row>
    <row r="169" spans="1:33" s="130" customFormat="1">
      <c r="A169" s="131" t="s">
        <v>1293</v>
      </c>
      <c r="B169" s="459">
        <v>2</v>
      </c>
      <c r="C169" s="460" t="s">
        <v>473</v>
      </c>
      <c r="D169" s="461">
        <f t="shared" si="99"/>
        <v>100.00000000000001</v>
      </c>
      <c r="E169" s="462">
        <f t="shared" si="89"/>
        <v>25.563297521669909</v>
      </c>
      <c r="F169" s="437">
        <v>1.0065396549685075</v>
      </c>
      <c r="G169" s="437">
        <v>4.5649019483943807</v>
      </c>
      <c r="H169" s="437">
        <v>19.991855918307021</v>
      </c>
      <c r="I169" s="461">
        <f t="shared" si="100"/>
        <v>74.42818837145532</v>
      </c>
      <c r="J169" s="437">
        <v>48.209667375573808</v>
      </c>
      <c r="K169" s="437">
        <v>16.373511310085785</v>
      </c>
      <c r="L169" s="437">
        <v>9.845009685795727</v>
      </c>
      <c r="M169" s="438">
        <v>0</v>
      </c>
      <c r="N169" s="439">
        <f t="shared" si="101"/>
        <v>8.5141068747850972E-3</v>
      </c>
      <c r="O169" s="440">
        <v>8.5141068747850972E-3</v>
      </c>
      <c r="P169" s="441">
        <v>0</v>
      </c>
      <c r="Q169" s="437">
        <v>0</v>
      </c>
      <c r="R169" s="131"/>
      <c r="S169" s="131"/>
      <c r="T169" s="130" t="b">
        <v>1</v>
      </c>
      <c r="U169" s="130" t="b">
        <v>1</v>
      </c>
      <c r="V169" s="130" t="b">
        <v>1</v>
      </c>
      <c r="W169" s="130" t="b">
        <v>1</v>
      </c>
      <c r="X169" s="130" t="b">
        <v>1</v>
      </c>
      <c r="Y169" s="130" t="b">
        <v>1</v>
      </c>
      <c r="Z169" s="130" t="b">
        <v>1</v>
      </c>
      <c r="AA169" s="130" t="b">
        <v>1</v>
      </c>
      <c r="AB169" s="130" t="b">
        <v>1</v>
      </c>
      <c r="AC169" s="130" t="b">
        <v>1</v>
      </c>
      <c r="AD169" s="130" t="b">
        <v>1</v>
      </c>
      <c r="AE169" s="130" t="b">
        <v>1</v>
      </c>
      <c r="AF169" s="130" t="b">
        <v>1</v>
      </c>
      <c r="AG169" s="130" t="b">
        <v>1</v>
      </c>
    </row>
    <row r="170" spans="1:33" s="130" customFormat="1">
      <c r="A170" s="131" t="s">
        <v>1294</v>
      </c>
      <c r="B170" s="459">
        <v>3</v>
      </c>
      <c r="C170" s="460" t="s">
        <v>474</v>
      </c>
      <c r="D170" s="461">
        <f t="shared" si="99"/>
        <v>100.00000000000001</v>
      </c>
      <c r="E170" s="462">
        <f t="shared" si="89"/>
        <v>25.563297521669909</v>
      </c>
      <c r="F170" s="437">
        <v>1.0065396549685075</v>
      </c>
      <c r="G170" s="437">
        <v>4.5649019483943807</v>
      </c>
      <c r="H170" s="437">
        <v>19.991855918307021</v>
      </c>
      <c r="I170" s="461">
        <f t="shared" si="100"/>
        <v>74.42818837145532</v>
      </c>
      <c r="J170" s="437">
        <v>48.209667375573808</v>
      </c>
      <c r="K170" s="437">
        <v>16.373511310085785</v>
      </c>
      <c r="L170" s="437">
        <v>9.845009685795727</v>
      </c>
      <c r="M170" s="438">
        <v>0</v>
      </c>
      <c r="N170" s="439">
        <f t="shared" si="101"/>
        <v>8.5141068747850972E-3</v>
      </c>
      <c r="O170" s="440">
        <v>8.5141068747850972E-3</v>
      </c>
      <c r="P170" s="441">
        <v>0</v>
      </c>
      <c r="Q170" s="437">
        <v>0</v>
      </c>
      <c r="R170" s="131"/>
      <c r="S170" s="131"/>
      <c r="T170" s="130" t="b">
        <v>1</v>
      </c>
      <c r="U170" s="130" t="b">
        <v>1</v>
      </c>
      <c r="V170" s="130" t="b">
        <v>1</v>
      </c>
      <c r="W170" s="130" t="b">
        <v>1</v>
      </c>
      <c r="X170" s="130" t="b">
        <v>1</v>
      </c>
      <c r="Y170" s="130" t="b">
        <v>1</v>
      </c>
      <c r="Z170" s="130" t="b">
        <v>1</v>
      </c>
      <c r="AA170" s="130" t="b">
        <v>1</v>
      </c>
      <c r="AB170" s="130" t="b">
        <v>1</v>
      </c>
      <c r="AC170" s="130" t="b">
        <v>1</v>
      </c>
      <c r="AD170" s="130" t="b">
        <v>1</v>
      </c>
      <c r="AE170" s="130" t="b">
        <v>1</v>
      </c>
      <c r="AF170" s="130" t="b">
        <v>1</v>
      </c>
      <c r="AG170" s="130" t="b">
        <v>1</v>
      </c>
    </row>
    <row r="171" spans="1:33" s="130" customFormat="1">
      <c r="A171" s="131" t="s">
        <v>1295</v>
      </c>
      <c r="B171" s="459">
        <v>4</v>
      </c>
      <c r="C171" s="460" t="s">
        <v>475</v>
      </c>
      <c r="D171" s="461">
        <f t="shared" si="99"/>
        <v>100.00000000000001</v>
      </c>
      <c r="E171" s="462">
        <f t="shared" si="89"/>
        <v>25.563297521669909</v>
      </c>
      <c r="F171" s="437">
        <v>1.0065396549685075</v>
      </c>
      <c r="G171" s="437">
        <v>4.5649019483943807</v>
      </c>
      <c r="H171" s="437">
        <v>19.991855918307021</v>
      </c>
      <c r="I171" s="461">
        <f t="shared" si="100"/>
        <v>74.42818837145532</v>
      </c>
      <c r="J171" s="437">
        <v>48.209667375573808</v>
      </c>
      <c r="K171" s="437">
        <v>16.373511310085785</v>
      </c>
      <c r="L171" s="437">
        <v>9.845009685795727</v>
      </c>
      <c r="M171" s="438">
        <v>0</v>
      </c>
      <c r="N171" s="439">
        <f t="shared" si="101"/>
        <v>8.5141068747850972E-3</v>
      </c>
      <c r="O171" s="440">
        <v>8.5141068747850972E-3</v>
      </c>
      <c r="P171" s="441">
        <v>0</v>
      </c>
      <c r="Q171" s="437">
        <v>0</v>
      </c>
      <c r="R171" s="131"/>
      <c r="S171" s="131"/>
      <c r="T171" s="130" t="b">
        <v>1</v>
      </c>
      <c r="U171" s="130" t="b">
        <v>1</v>
      </c>
      <c r="V171" s="130" t="b">
        <v>1</v>
      </c>
      <c r="W171" s="130" t="b">
        <v>1</v>
      </c>
      <c r="X171" s="130" t="b">
        <v>1</v>
      </c>
      <c r="Y171" s="130" t="b">
        <v>1</v>
      </c>
      <c r="Z171" s="130" t="b">
        <v>1</v>
      </c>
      <c r="AA171" s="130" t="b">
        <v>1</v>
      </c>
      <c r="AB171" s="130" t="b">
        <v>1</v>
      </c>
      <c r="AC171" s="130" t="b">
        <v>1</v>
      </c>
      <c r="AD171" s="130" t="b">
        <v>1</v>
      </c>
      <c r="AE171" s="130" t="b">
        <v>1</v>
      </c>
      <c r="AF171" s="130" t="b">
        <v>1</v>
      </c>
      <c r="AG171" s="130" t="b">
        <v>1</v>
      </c>
    </row>
    <row r="172" spans="1:33" s="130" customFormat="1">
      <c r="A172" s="131" t="s">
        <v>1296</v>
      </c>
      <c r="B172" s="459">
        <v>5</v>
      </c>
      <c r="C172" s="460" t="s">
        <v>476</v>
      </c>
      <c r="D172" s="461">
        <f t="shared" si="99"/>
        <v>100.00000000000001</v>
      </c>
      <c r="E172" s="462">
        <f t="shared" si="89"/>
        <v>25.563297521669909</v>
      </c>
      <c r="F172" s="437">
        <v>1.0065396549685075</v>
      </c>
      <c r="G172" s="437">
        <v>4.5649019483943807</v>
      </c>
      <c r="H172" s="437">
        <v>19.991855918307021</v>
      </c>
      <c r="I172" s="461">
        <f t="shared" si="100"/>
        <v>74.42818837145532</v>
      </c>
      <c r="J172" s="437">
        <v>48.209667375573808</v>
      </c>
      <c r="K172" s="437">
        <v>16.373511310085785</v>
      </c>
      <c r="L172" s="437">
        <v>9.845009685795727</v>
      </c>
      <c r="M172" s="438">
        <v>0</v>
      </c>
      <c r="N172" s="439">
        <f t="shared" si="101"/>
        <v>8.5141068747850972E-3</v>
      </c>
      <c r="O172" s="440">
        <v>8.5141068747850972E-3</v>
      </c>
      <c r="P172" s="441">
        <v>0</v>
      </c>
      <c r="Q172" s="437">
        <v>0</v>
      </c>
      <c r="R172" s="131"/>
      <c r="S172" s="131"/>
      <c r="T172" s="130" t="b">
        <v>1</v>
      </c>
      <c r="U172" s="130" t="b">
        <v>1</v>
      </c>
      <c r="V172" s="130" t="b">
        <v>1</v>
      </c>
      <c r="W172" s="130" t="b">
        <v>1</v>
      </c>
      <c r="X172" s="130" t="b">
        <v>1</v>
      </c>
      <c r="Y172" s="130" t="b">
        <v>1</v>
      </c>
      <c r="Z172" s="130" t="b">
        <v>1</v>
      </c>
      <c r="AA172" s="130" t="b">
        <v>1</v>
      </c>
      <c r="AB172" s="130" t="b">
        <v>1</v>
      </c>
      <c r="AC172" s="130" t="b">
        <v>1</v>
      </c>
      <c r="AD172" s="130" t="b">
        <v>1</v>
      </c>
      <c r="AE172" s="130" t="b">
        <v>1</v>
      </c>
      <c r="AF172" s="130" t="b">
        <v>1</v>
      </c>
      <c r="AG172" s="130" t="b">
        <v>1</v>
      </c>
    </row>
    <row r="173" spans="1:33" s="130" customFormat="1">
      <c r="A173" s="131" t="s">
        <v>1297</v>
      </c>
      <c r="B173" s="459">
        <v>6</v>
      </c>
      <c r="C173" s="460" t="s">
        <v>477</v>
      </c>
      <c r="D173" s="461">
        <f t="shared" si="99"/>
        <v>100.00000000000001</v>
      </c>
      <c r="E173" s="462">
        <f t="shared" si="89"/>
        <v>25.563297521669909</v>
      </c>
      <c r="F173" s="437">
        <v>1.0065396549685075</v>
      </c>
      <c r="G173" s="437">
        <v>4.5649019483943807</v>
      </c>
      <c r="H173" s="437">
        <v>19.991855918307021</v>
      </c>
      <c r="I173" s="461">
        <f t="shared" si="100"/>
        <v>74.42818837145532</v>
      </c>
      <c r="J173" s="437">
        <v>48.209667375573808</v>
      </c>
      <c r="K173" s="437">
        <v>16.373511310085785</v>
      </c>
      <c r="L173" s="437">
        <v>9.845009685795727</v>
      </c>
      <c r="M173" s="438">
        <v>0</v>
      </c>
      <c r="N173" s="439">
        <f t="shared" si="101"/>
        <v>8.5141068747850972E-3</v>
      </c>
      <c r="O173" s="440">
        <v>8.5141068747850972E-3</v>
      </c>
      <c r="P173" s="441">
        <v>0</v>
      </c>
      <c r="Q173" s="437">
        <v>0</v>
      </c>
      <c r="R173" s="131"/>
      <c r="S173" s="131"/>
      <c r="T173" s="130" t="b">
        <v>1</v>
      </c>
      <c r="U173" s="130" t="b">
        <v>1</v>
      </c>
      <c r="V173" s="130" t="b">
        <v>1</v>
      </c>
      <c r="W173" s="130" t="b">
        <v>1</v>
      </c>
      <c r="X173" s="130" t="b">
        <v>1</v>
      </c>
      <c r="Y173" s="130" t="b">
        <v>1</v>
      </c>
      <c r="Z173" s="130" t="b">
        <v>1</v>
      </c>
      <c r="AA173" s="130" t="b">
        <v>1</v>
      </c>
      <c r="AB173" s="130" t="b">
        <v>1</v>
      </c>
      <c r="AC173" s="130" t="b">
        <v>1</v>
      </c>
      <c r="AD173" s="130" t="b">
        <v>1</v>
      </c>
      <c r="AE173" s="130" t="b">
        <v>1</v>
      </c>
      <c r="AF173" s="130" t="b">
        <v>1</v>
      </c>
      <c r="AG173" s="130" t="b">
        <v>1</v>
      </c>
    </row>
    <row r="174" spans="1:33" s="130" customFormat="1">
      <c r="A174" s="131" t="s">
        <v>1298</v>
      </c>
      <c r="B174" s="459">
        <v>7</v>
      </c>
      <c r="C174" s="460" t="s">
        <v>478</v>
      </c>
      <c r="D174" s="461">
        <f t="shared" si="99"/>
        <v>100.00000000000001</v>
      </c>
      <c r="E174" s="462">
        <f t="shared" si="89"/>
        <v>25.563297521669909</v>
      </c>
      <c r="F174" s="437">
        <v>1.0065396549685075</v>
      </c>
      <c r="G174" s="437">
        <v>4.5649019483943807</v>
      </c>
      <c r="H174" s="437">
        <v>19.991855918307021</v>
      </c>
      <c r="I174" s="461">
        <f t="shared" si="100"/>
        <v>74.42818837145532</v>
      </c>
      <c r="J174" s="437">
        <v>48.209667375573808</v>
      </c>
      <c r="K174" s="437">
        <v>16.373511310085785</v>
      </c>
      <c r="L174" s="437">
        <v>9.845009685795727</v>
      </c>
      <c r="M174" s="438">
        <v>0</v>
      </c>
      <c r="N174" s="439">
        <f t="shared" si="101"/>
        <v>8.5141068747850972E-3</v>
      </c>
      <c r="O174" s="440">
        <v>8.5141068747850972E-3</v>
      </c>
      <c r="P174" s="441">
        <v>0</v>
      </c>
      <c r="Q174" s="437">
        <v>0</v>
      </c>
      <c r="R174" s="131"/>
      <c r="S174" s="131"/>
      <c r="T174" s="130" t="b">
        <v>1</v>
      </c>
      <c r="U174" s="130" t="b">
        <v>1</v>
      </c>
      <c r="V174" s="130" t="b">
        <v>1</v>
      </c>
      <c r="W174" s="130" t="b">
        <v>1</v>
      </c>
      <c r="X174" s="130" t="b">
        <v>1</v>
      </c>
      <c r="Y174" s="130" t="b">
        <v>1</v>
      </c>
      <c r="Z174" s="130" t="b">
        <v>1</v>
      </c>
      <c r="AA174" s="130" t="b">
        <v>1</v>
      </c>
      <c r="AB174" s="130" t="b">
        <v>1</v>
      </c>
      <c r="AC174" s="130" t="b">
        <v>1</v>
      </c>
      <c r="AD174" s="130" t="b">
        <v>1</v>
      </c>
      <c r="AE174" s="130" t="b">
        <v>1</v>
      </c>
      <c r="AF174" s="130" t="b">
        <v>1</v>
      </c>
      <c r="AG174" s="130" t="b">
        <v>1</v>
      </c>
    </row>
    <row r="175" spans="1:33" s="130" customFormat="1">
      <c r="A175" s="131" t="s">
        <v>1299</v>
      </c>
      <c r="B175" s="459">
        <v>8</v>
      </c>
      <c r="C175" s="460" t="s">
        <v>479</v>
      </c>
      <c r="D175" s="461">
        <f t="shared" si="99"/>
        <v>100.00000000000001</v>
      </c>
      <c r="E175" s="462">
        <f t="shared" si="89"/>
        <v>25.563297521669909</v>
      </c>
      <c r="F175" s="437">
        <v>1.0065396549685075</v>
      </c>
      <c r="G175" s="437">
        <v>4.5649019483943807</v>
      </c>
      <c r="H175" s="437">
        <v>19.991855918307021</v>
      </c>
      <c r="I175" s="461">
        <f t="shared" si="100"/>
        <v>74.42818837145532</v>
      </c>
      <c r="J175" s="437">
        <v>48.209667375573808</v>
      </c>
      <c r="K175" s="437">
        <v>16.373511310085785</v>
      </c>
      <c r="L175" s="437">
        <v>9.845009685795727</v>
      </c>
      <c r="M175" s="438">
        <v>0</v>
      </c>
      <c r="N175" s="439">
        <f t="shared" si="101"/>
        <v>8.5141068747850972E-3</v>
      </c>
      <c r="O175" s="440">
        <v>8.5141068747850972E-3</v>
      </c>
      <c r="P175" s="441">
        <v>0</v>
      </c>
      <c r="Q175" s="437">
        <v>0</v>
      </c>
      <c r="R175" s="131"/>
      <c r="S175" s="131"/>
      <c r="T175" s="130" t="b">
        <v>1</v>
      </c>
      <c r="U175" s="130" t="b">
        <v>1</v>
      </c>
      <c r="V175" s="130" t="b">
        <v>1</v>
      </c>
      <c r="W175" s="130" t="b">
        <v>1</v>
      </c>
      <c r="X175" s="130" t="b">
        <v>1</v>
      </c>
      <c r="Y175" s="130" t="b">
        <v>1</v>
      </c>
      <c r="Z175" s="130" t="b">
        <v>1</v>
      </c>
      <c r="AA175" s="130" t="b">
        <v>1</v>
      </c>
      <c r="AB175" s="130" t="b">
        <v>1</v>
      </c>
      <c r="AC175" s="130" t="b">
        <v>1</v>
      </c>
      <c r="AD175" s="130" t="b">
        <v>1</v>
      </c>
      <c r="AE175" s="130" t="b">
        <v>1</v>
      </c>
      <c r="AF175" s="130" t="b">
        <v>1</v>
      </c>
      <c r="AG175" s="130" t="b">
        <v>1</v>
      </c>
    </row>
    <row r="176" spans="1:33" s="130" customFormat="1">
      <c r="A176" s="131" t="s">
        <v>1300</v>
      </c>
      <c r="B176" s="459">
        <v>9</v>
      </c>
      <c r="C176" s="460" t="s">
        <v>480</v>
      </c>
      <c r="D176" s="461">
        <f t="shared" si="99"/>
        <v>100.00000000000001</v>
      </c>
      <c r="E176" s="462">
        <f t="shared" si="89"/>
        <v>25.563297521669909</v>
      </c>
      <c r="F176" s="437">
        <v>1.0065396549685075</v>
      </c>
      <c r="G176" s="437">
        <v>4.5649019483943807</v>
      </c>
      <c r="H176" s="437">
        <v>19.991855918307021</v>
      </c>
      <c r="I176" s="461">
        <f t="shared" si="100"/>
        <v>74.42818837145532</v>
      </c>
      <c r="J176" s="437">
        <v>48.209667375573808</v>
      </c>
      <c r="K176" s="437">
        <v>16.373511310085785</v>
      </c>
      <c r="L176" s="437">
        <v>9.845009685795727</v>
      </c>
      <c r="M176" s="438">
        <v>0</v>
      </c>
      <c r="N176" s="439">
        <f t="shared" si="101"/>
        <v>8.5141068747850972E-3</v>
      </c>
      <c r="O176" s="440">
        <v>8.5141068747850972E-3</v>
      </c>
      <c r="P176" s="441">
        <v>0</v>
      </c>
      <c r="Q176" s="437">
        <v>0</v>
      </c>
      <c r="R176" s="131"/>
      <c r="S176" s="131"/>
      <c r="T176" s="130" t="b">
        <v>1</v>
      </c>
      <c r="U176" s="130" t="b">
        <v>1</v>
      </c>
      <c r="V176" s="130" t="b">
        <v>1</v>
      </c>
      <c r="W176" s="130" t="b">
        <v>1</v>
      </c>
      <c r="X176" s="130" t="b">
        <v>1</v>
      </c>
      <c r="Y176" s="130" t="b">
        <v>1</v>
      </c>
      <c r="Z176" s="130" t="b">
        <v>1</v>
      </c>
      <c r="AA176" s="130" t="b">
        <v>1</v>
      </c>
      <c r="AB176" s="130" t="b">
        <v>1</v>
      </c>
      <c r="AC176" s="130" t="b">
        <v>1</v>
      </c>
      <c r="AD176" s="130" t="b">
        <v>1</v>
      </c>
      <c r="AE176" s="130" t="b">
        <v>1</v>
      </c>
      <c r="AF176" s="130" t="b">
        <v>1</v>
      </c>
      <c r="AG176" s="130" t="b">
        <v>1</v>
      </c>
    </row>
    <row r="177" spans="1:33" s="130" customFormat="1">
      <c r="A177" s="131" t="s">
        <v>1301</v>
      </c>
      <c r="B177" s="459">
        <v>10</v>
      </c>
      <c r="C177" s="460" t="s">
        <v>481</v>
      </c>
      <c r="D177" s="461">
        <f t="shared" si="99"/>
        <v>100.00000000000001</v>
      </c>
      <c r="E177" s="462">
        <f t="shared" si="89"/>
        <v>25.563297521669909</v>
      </c>
      <c r="F177" s="437">
        <v>1.0065396549685075</v>
      </c>
      <c r="G177" s="437">
        <v>4.5649019483943807</v>
      </c>
      <c r="H177" s="437">
        <v>19.991855918307021</v>
      </c>
      <c r="I177" s="461">
        <f t="shared" si="100"/>
        <v>74.42818837145532</v>
      </c>
      <c r="J177" s="437">
        <v>48.209667375573808</v>
      </c>
      <c r="K177" s="437">
        <v>16.373511310085785</v>
      </c>
      <c r="L177" s="437">
        <v>9.845009685795727</v>
      </c>
      <c r="M177" s="438">
        <v>0</v>
      </c>
      <c r="N177" s="439">
        <f t="shared" si="101"/>
        <v>8.5141068747850972E-3</v>
      </c>
      <c r="O177" s="440">
        <v>8.5141068747850972E-3</v>
      </c>
      <c r="P177" s="441">
        <v>0</v>
      </c>
      <c r="Q177" s="437">
        <v>0</v>
      </c>
      <c r="R177" s="131"/>
      <c r="S177" s="131"/>
      <c r="T177" s="130" t="b">
        <v>1</v>
      </c>
      <c r="U177" s="130" t="b">
        <v>1</v>
      </c>
      <c r="V177" s="130" t="b">
        <v>1</v>
      </c>
      <c r="W177" s="130" t="b">
        <v>1</v>
      </c>
      <c r="X177" s="130" t="b">
        <v>1</v>
      </c>
      <c r="Y177" s="130" t="b">
        <v>1</v>
      </c>
      <c r="Z177" s="130" t="b">
        <v>1</v>
      </c>
      <c r="AA177" s="130" t="b">
        <v>1</v>
      </c>
      <c r="AB177" s="130" t="b">
        <v>1</v>
      </c>
      <c r="AC177" s="130" t="b">
        <v>1</v>
      </c>
      <c r="AD177" s="130" t="b">
        <v>1</v>
      </c>
      <c r="AE177" s="130" t="b">
        <v>1</v>
      </c>
      <c r="AF177" s="130" t="b">
        <v>1</v>
      </c>
      <c r="AG177" s="130" t="b">
        <v>1</v>
      </c>
    </row>
    <row r="178" spans="1:33" s="130" customFormat="1">
      <c r="A178" s="131" t="s">
        <v>1302</v>
      </c>
      <c r="B178" s="459">
        <v>11</v>
      </c>
      <c r="C178" s="460" t="s">
        <v>482</v>
      </c>
      <c r="D178" s="461">
        <f t="shared" si="99"/>
        <v>100.00000000000001</v>
      </c>
      <c r="E178" s="462">
        <f t="shared" si="89"/>
        <v>25.563297521669909</v>
      </c>
      <c r="F178" s="437">
        <v>1.0065396549685075</v>
      </c>
      <c r="G178" s="437">
        <v>4.5649019483943807</v>
      </c>
      <c r="H178" s="437">
        <v>19.991855918307021</v>
      </c>
      <c r="I178" s="461">
        <f t="shared" si="100"/>
        <v>74.42818837145532</v>
      </c>
      <c r="J178" s="437">
        <v>48.209667375573808</v>
      </c>
      <c r="K178" s="437">
        <v>16.373511310085785</v>
      </c>
      <c r="L178" s="437">
        <v>9.845009685795727</v>
      </c>
      <c r="M178" s="438">
        <v>0</v>
      </c>
      <c r="N178" s="439">
        <f t="shared" si="101"/>
        <v>8.5141068747850972E-3</v>
      </c>
      <c r="O178" s="440">
        <v>8.5141068747850972E-3</v>
      </c>
      <c r="P178" s="441">
        <v>0</v>
      </c>
      <c r="Q178" s="437">
        <v>0</v>
      </c>
      <c r="R178" s="131"/>
      <c r="S178" s="131"/>
      <c r="T178" s="130" t="b">
        <v>1</v>
      </c>
      <c r="U178" s="130" t="b">
        <v>1</v>
      </c>
      <c r="V178" s="130" t="b">
        <v>1</v>
      </c>
      <c r="W178" s="130" t="b">
        <v>1</v>
      </c>
      <c r="X178" s="130" t="b">
        <v>1</v>
      </c>
      <c r="Y178" s="130" t="b">
        <v>1</v>
      </c>
      <c r="Z178" s="130" t="b">
        <v>1</v>
      </c>
      <c r="AA178" s="130" t="b">
        <v>1</v>
      </c>
      <c r="AB178" s="130" t="b">
        <v>1</v>
      </c>
      <c r="AC178" s="130" t="b">
        <v>1</v>
      </c>
      <c r="AD178" s="130" t="b">
        <v>1</v>
      </c>
      <c r="AE178" s="130" t="b">
        <v>1</v>
      </c>
      <c r="AF178" s="130" t="b">
        <v>1</v>
      </c>
      <c r="AG178" s="130" t="b">
        <v>1</v>
      </c>
    </row>
    <row r="179" spans="1:33" s="130" customFormat="1">
      <c r="A179" s="131" t="s">
        <v>1303</v>
      </c>
      <c r="B179" s="459">
        <v>12</v>
      </c>
      <c r="C179" s="460" t="s">
        <v>483</v>
      </c>
      <c r="D179" s="461">
        <f t="shared" si="99"/>
        <v>100.00000000000001</v>
      </c>
      <c r="E179" s="462">
        <f t="shared" si="89"/>
        <v>25.563297521669909</v>
      </c>
      <c r="F179" s="437">
        <v>1.0065396549685075</v>
      </c>
      <c r="G179" s="437">
        <v>4.5649019483943807</v>
      </c>
      <c r="H179" s="437">
        <v>19.991855918307021</v>
      </c>
      <c r="I179" s="461">
        <f t="shared" si="100"/>
        <v>74.42818837145532</v>
      </c>
      <c r="J179" s="437">
        <v>48.209667375573808</v>
      </c>
      <c r="K179" s="437">
        <v>16.373511310085785</v>
      </c>
      <c r="L179" s="437">
        <v>9.845009685795727</v>
      </c>
      <c r="M179" s="438">
        <v>0</v>
      </c>
      <c r="N179" s="439">
        <f t="shared" si="101"/>
        <v>8.5141068747850972E-3</v>
      </c>
      <c r="O179" s="440">
        <v>8.5141068747850972E-3</v>
      </c>
      <c r="P179" s="441">
        <v>0</v>
      </c>
      <c r="Q179" s="437">
        <v>0</v>
      </c>
      <c r="R179" s="131"/>
      <c r="S179" s="131"/>
      <c r="T179" s="130" t="b">
        <v>1</v>
      </c>
      <c r="U179" s="130" t="b">
        <v>1</v>
      </c>
      <c r="V179" s="130" t="b">
        <v>1</v>
      </c>
      <c r="W179" s="130" t="b">
        <v>1</v>
      </c>
      <c r="X179" s="130" t="b">
        <v>1</v>
      </c>
      <c r="Y179" s="130" t="b">
        <v>1</v>
      </c>
      <c r="Z179" s="130" t="b">
        <v>1</v>
      </c>
      <c r="AA179" s="130" t="b">
        <v>1</v>
      </c>
      <c r="AB179" s="130" t="b">
        <v>1</v>
      </c>
      <c r="AC179" s="130" t="b">
        <v>1</v>
      </c>
      <c r="AD179" s="130" t="b">
        <v>1</v>
      </c>
      <c r="AE179" s="130" t="b">
        <v>1</v>
      </c>
      <c r="AF179" s="130" t="b">
        <v>1</v>
      </c>
      <c r="AG179" s="130" t="b">
        <v>1</v>
      </c>
    </row>
    <row r="180" spans="1:33" s="130" customFormat="1">
      <c r="A180" s="131" t="s">
        <v>1304</v>
      </c>
      <c r="B180" s="459">
        <v>13</v>
      </c>
      <c r="C180" s="460" t="s">
        <v>484</v>
      </c>
      <c r="D180" s="461">
        <f t="shared" si="99"/>
        <v>100.00000000000001</v>
      </c>
      <c r="E180" s="462">
        <f t="shared" si="89"/>
        <v>25.563297521669909</v>
      </c>
      <c r="F180" s="437">
        <v>1.0065396549685075</v>
      </c>
      <c r="G180" s="437">
        <v>4.5649019483943807</v>
      </c>
      <c r="H180" s="437">
        <v>19.991855918307021</v>
      </c>
      <c r="I180" s="461">
        <f t="shared" si="100"/>
        <v>74.42818837145532</v>
      </c>
      <c r="J180" s="437">
        <v>48.209667375573808</v>
      </c>
      <c r="K180" s="437">
        <v>16.373511310085785</v>
      </c>
      <c r="L180" s="437">
        <v>9.845009685795727</v>
      </c>
      <c r="M180" s="438">
        <v>0</v>
      </c>
      <c r="N180" s="439">
        <f t="shared" si="101"/>
        <v>8.5141068747850972E-3</v>
      </c>
      <c r="O180" s="440">
        <v>8.5141068747850972E-3</v>
      </c>
      <c r="P180" s="441">
        <v>0</v>
      </c>
      <c r="Q180" s="437">
        <v>0</v>
      </c>
      <c r="R180" s="131"/>
      <c r="S180" s="131"/>
      <c r="T180" s="130" t="b">
        <v>1</v>
      </c>
      <c r="U180" s="130" t="b">
        <v>1</v>
      </c>
      <c r="V180" s="130" t="b">
        <v>1</v>
      </c>
      <c r="W180" s="130" t="b">
        <v>1</v>
      </c>
      <c r="X180" s="130" t="b">
        <v>1</v>
      </c>
      <c r="Y180" s="130" t="b">
        <v>1</v>
      </c>
      <c r="Z180" s="130" t="b">
        <v>1</v>
      </c>
      <c r="AA180" s="130" t="b">
        <v>1</v>
      </c>
      <c r="AB180" s="130" t="b">
        <v>1</v>
      </c>
      <c r="AC180" s="130" t="b">
        <v>1</v>
      </c>
      <c r="AD180" s="130" t="b">
        <v>1</v>
      </c>
      <c r="AE180" s="130" t="b">
        <v>1</v>
      </c>
      <c r="AF180" s="130" t="b">
        <v>1</v>
      </c>
      <c r="AG180" s="130" t="b">
        <v>1</v>
      </c>
    </row>
    <row r="181" spans="1:33" s="130" customFormat="1" ht="15" thickBot="1">
      <c r="A181" s="131" t="s">
        <v>1305</v>
      </c>
      <c r="B181" s="463">
        <v>14</v>
      </c>
      <c r="C181" s="464" t="s">
        <v>485</v>
      </c>
      <c r="D181" s="465">
        <f t="shared" si="99"/>
        <v>100.00000000000001</v>
      </c>
      <c r="E181" s="466">
        <f t="shared" si="89"/>
        <v>25.563297521669909</v>
      </c>
      <c r="F181" s="449">
        <v>1.0065396549685075</v>
      </c>
      <c r="G181" s="449">
        <v>4.5649019483943807</v>
      </c>
      <c r="H181" s="449">
        <v>19.991855918307021</v>
      </c>
      <c r="I181" s="465">
        <f t="shared" si="100"/>
        <v>74.42818837145532</v>
      </c>
      <c r="J181" s="449">
        <v>48.209667375573808</v>
      </c>
      <c r="K181" s="449">
        <v>16.373511310085785</v>
      </c>
      <c r="L181" s="449">
        <v>9.845009685795727</v>
      </c>
      <c r="M181" s="446">
        <v>0</v>
      </c>
      <c r="N181" s="447">
        <f t="shared" si="101"/>
        <v>8.5141068747850972E-3</v>
      </c>
      <c r="O181" s="467">
        <v>8.5141068747850972E-3</v>
      </c>
      <c r="P181" s="448">
        <v>0</v>
      </c>
      <c r="Q181" s="449">
        <v>0</v>
      </c>
      <c r="R181" s="131"/>
      <c r="S181" s="131"/>
      <c r="T181" s="130" t="b">
        <v>1</v>
      </c>
      <c r="U181" s="130" t="b">
        <v>1</v>
      </c>
      <c r="V181" s="130" t="b">
        <v>1</v>
      </c>
      <c r="W181" s="130" t="b">
        <v>1</v>
      </c>
      <c r="X181" s="130" t="b">
        <v>1</v>
      </c>
      <c r="Y181" s="130" t="b">
        <v>1</v>
      </c>
      <c r="Z181" s="130" t="b">
        <v>1</v>
      </c>
      <c r="AA181" s="130" t="b">
        <v>1</v>
      </c>
      <c r="AB181" s="130" t="b">
        <v>1</v>
      </c>
      <c r="AC181" s="130" t="b">
        <v>1</v>
      </c>
      <c r="AD181" s="130" t="b">
        <v>1</v>
      </c>
      <c r="AE181" s="130" t="b">
        <v>1</v>
      </c>
      <c r="AF181" s="130" t="b">
        <v>1</v>
      </c>
      <c r="AG181" s="130" t="b">
        <v>1</v>
      </c>
    </row>
    <row r="182" spans="1:33" s="130" customFormat="1" ht="15" thickBot="1">
      <c r="A182" s="131" t="s">
        <v>1306</v>
      </c>
      <c r="B182" s="472" t="s">
        <v>486</v>
      </c>
      <c r="C182" s="487" t="s">
        <v>1307</v>
      </c>
      <c r="D182" s="474">
        <f t="shared" si="99"/>
        <v>100.00000000000001</v>
      </c>
      <c r="E182" s="475">
        <f t="shared" si="89"/>
        <v>25.563297521669909</v>
      </c>
      <c r="F182" s="476">
        <v>1.0065396549685075</v>
      </c>
      <c r="G182" s="476">
        <v>4.5649019483943807</v>
      </c>
      <c r="H182" s="476">
        <v>19.991855918307021</v>
      </c>
      <c r="I182" s="474">
        <f t="shared" si="100"/>
        <v>74.42818837145532</v>
      </c>
      <c r="J182" s="476">
        <v>48.209667375573808</v>
      </c>
      <c r="K182" s="476">
        <v>16.373511310085785</v>
      </c>
      <c r="L182" s="476">
        <v>9.845009685795727</v>
      </c>
      <c r="M182" s="477">
        <v>0</v>
      </c>
      <c r="N182" s="478">
        <f t="shared" si="101"/>
        <v>8.5141068747850972E-3</v>
      </c>
      <c r="O182" s="479">
        <v>8.5141068747850972E-3</v>
      </c>
      <c r="P182" s="480">
        <v>0</v>
      </c>
      <c r="Q182" s="476">
        <v>0</v>
      </c>
      <c r="R182" s="131" t="s">
        <v>487</v>
      </c>
      <c r="S182" s="131"/>
      <c r="T182" s="130" t="b">
        <v>1</v>
      </c>
      <c r="U182" s="130" t="b">
        <v>1</v>
      </c>
      <c r="V182" s="130" t="b">
        <v>1</v>
      </c>
      <c r="W182" s="130" t="b">
        <v>1</v>
      </c>
      <c r="X182" s="130" t="b">
        <v>1</v>
      </c>
      <c r="Y182" s="130" t="b">
        <v>1</v>
      </c>
      <c r="Z182" s="130" t="b">
        <v>1</v>
      </c>
      <c r="AA182" s="130" t="b">
        <v>1</v>
      </c>
      <c r="AB182" s="130" t="b">
        <v>1</v>
      </c>
      <c r="AC182" s="130" t="b">
        <v>1</v>
      </c>
      <c r="AD182" s="130" t="b">
        <v>1</v>
      </c>
      <c r="AE182" s="130" t="b">
        <v>1</v>
      </c>
      <c r="AF182" s="130" t="b">
        <v>1</v>
      </c>
      <c r="AG182" s="130" t="b">
        <v>1</v>
      </c>
    </row>
    <row r="183" spans="1:33" s="130" customFormat="1" ht="15" thickBot="1">
      <c r="A183" s="131" t="s">
        <v>1308</v>
      </c>
      <c r="B183" s="488" t="s">
        <v>488</v>
      </c>
      <c r="C183" s="489" t="s">
        <v>1309</v>
      </c>
      <c r="D183" s="490">
        <f t="shared" si="99"/>
        <v>100.00000000000001</v>
      </c>
      <c r="E183" s="491">
        <f t="shared" si="89"/>
        <v>25.563297521669909</v>
      </c>
      <c r="F183" s="492">
        <v>1.0065396549685075</v>
      </c>
      <c r="G183" s="492">
        <v>4.5649019483943807</v>
      </c>
      <c r="H183" s="492">
        <v>19.991855918307021</v>
      </c>
      <c r="I183" s="490">
        <f t="shared" si="100"/>
        <v>74.42818837145532</v>
      </c>
      <c r="J183" s="492">
        <v>48.209667375573808</v>
      </c>
      <c r="K183" s="492">
        <v>16.373511310085785</v>
      </c>
      <c r="L183" s="492">
        <v>9.845009685795727</v>
      </c>
      <c r="M183" s="493">
        <v>0</v>
      </c>
      <c r="N183" s="494">
        <f t="shared" si="101"/>
        <v>8.5141068747850972E-3</v>
      </c>
      <c r="O183" s="495">
        <v>8.5141068747850972E-3</v>
      </c>
      <c r="P183" s="496">
        <v>0</v>
      </c>
      <c r="Q183" s="492">
        <v>0</v>
      </c>
      <c r="R183" s="131" t="s">
        <v>489</v>
      </c>
      <c r="S183" s="131"/>
      <c r="T183" s="130" t="b">
        <v>1</v>
      </c>
      <c r="U183" s="130" t="b">
        <v>1</v>
      </c>
      <c r="V183" s="130" t="b">
        <v>1</v>
      </c>
      <c r="W183" s="130" t="b">
        <v>1</v>
      </c>
      <c r="X183" s="130" t="b">
        <v>1</v>
      </c>
      <c r="Y183" s="130" t="b">
        <v>1</v>
      </c>
      <c r="Z183" s="130" t="b">
        <v>1</v>
      </c>
      <c r="AA183" s="130" t="b">
        <v>1</v>
      </c>
      <c r="AB183" s="130" t="b">
        <v>1</v>
      </c>
      <c r="AC183" s="130" t="b">
        <v>1</v>
      </c>
      <c r="AD183" s="130" t="b">
        <v>1</v>
      </c>
      <c r="AE183" s="130" t="b">
        <v>1</v>
      </c>
      <c r="AF183" s="130" t="b">
        <v>1</v>
      </c>
      <c r="AG183" s="130" t="b">
        <v>1</v>
      </c>
    </row>
    <row r="184" spans="1:33" ht="15.6" thickTop="1" thickBot="1">
      <c r="B184" s="260" t="s">
        <v>74</v>
      </c>
      <c r="C184" s="146" t="s">
        <v>490</v>
      </c>
      <c r="D184" s="1294">
        <f>D185+D187+D190+D192+D199+D198+D204+D208+D211+D227+D228</f>
        <v>252.91448902920405</v>
      </c>
      <c r="E184" s="261">
        <f t="shared" ref="E184:Q184" si="102">E185+E187+E190+E192+E199+E198+E204+E208+E211+E227+E228</f>
        <v>72.099878854881382</v>
      </c>
      <c r="F184" s="262">
        <f t="shared" si="102"/>
        <v>14.346454061478727</v>
      </c>
      <c r="G184" s="263">
        <f t="shared" si="102"/>
        <v>11.880400690268754</v>
      </c>
      <c r="H184" s="264">
        <f t="shared" si="102"/>
        <v>45.873024103133908</v>
      </c>
      <c r="I184" s="260">
        <f t="shared" si="102"/>
        <v>164.20256717132949</v>
      </c>
      <c r="J184" s="262">
        <f t="shared" si="102"/>
        <v>76.366277593818793</v>
      </c>
      <c r="K184" s="263">
        <f t="shared" si="102"/>
        <v>65.641029078396954</v>
      </c>
      <c r="L184" s="263">
        <f t="shared" si="102"/>
        <v>22.195260499113747</v>
      </c>
      <c r="M184" s="265">
        <f t="shared" si="102"/>
        <v>0.84160639665751513</v>
      </c>
      <c r="N184" s="260">
        <f t="shared" si="101"/>
        <v>8.6983520928807359</v>
      </c>
      <c r="O184" s="497">
        <f>O185+O187+O190+O192+O199+O198+O204+O208+O211+O227+O228</f>
        <v>8.6983520928807359</v>
      </c>
      <c r="P184" s="264">
        <f t="shared" si="102"/>
        <v>0</v>
      </c>
      <c r="Q184" s="260">
        <f t="shared" si="102"/>
        <v>7.0720845134549828</v>
      </c>
      <c r="R184" s="130"/>
      <c r="T184" s="130" t="b">
        <v>1</v>
      </c>
      <c r="U184" s="130" t="b">
        <v>1</v>
      </c>
      <c r="V184" s="130" t="b">
        <v>1</v>
      </c>
      <c r="W184" s="130" t="b">
        <v>1</v>
      </c>
      <c r="X184" s="130" t="b">
        <v>1</v>
      </c>
      <c r="Y184" s="130" t="b">
        <v>1</v>
      </c>
      <c r="Z184" s="130" t="b">
        <v>1</v>
      </c>
      <c r="AA184" s="130" t="b">
        <v>1</v>
      </c>
      <c r="AB184" s="130" t="b">
        <v>1</v>
      </c>
      <c r="AC184" s="130" t="b">
        <v>1</v>
      </c>
      <c r="AD184" s="130" t="b">
        <v>1</v>
      </c>
      <c r="AE184" s="130" t="b">
        <v>1</v>
      </c>
      <c r="AF184" s="130" t="b">
        <v>1</v>
      </c>
      <c r="AG184" s="172">
        <v>0</v>
      </c>
    </row>
    <row r="185" spans="1:33" ht="15" thickTop="1">
      <c r="B185" s="498" t="s">
        <v>491</v>
      </c>
      <c r="C185" s="499" t="s">
        <v>297</v>
      </c>
      <c r="D185" s="500">
        <f>D186</f>
        <v>5.258582519</v>
      </c>
      <c r="E185" s="501">
        <f t="shared" ref="E185:Q185" si="103">E186</f>
        <v>1.499096251953036</v>
      </c>
      <c r="F185" s="502">
        <f t="shared" si="103"/>
        <v>0.2982905915232768</v>
      </c>
      <c r="G185" s="503">
        <f t="shared" si="103"/>
        <v>0.24701656132222977</v>
      </c>
      <c r="H185" s="504">
        <f t="shared" si="103"/>
        <v>0.95378909910752929</v>
      </c>
      <c r="I185" s="498">
        <f t="shared" si="103"/>
        <v>3.4140896894300554</v>
      </c>
      <c r="J185" s="502">
        <f t="shared" si="103"/>
        <v>1.587802952442106</v>
      </c>
      <c r="K185" s="503">
        <f t="shared" si="103"/>
        <v>1.3648042441766595</v>
      </c>
      <c r="L185" s="503">
        <f t="shared" si="103"/>
        <v>0.46148249281129011</v>
      </c>
      <c r="M185" s="505">
        <f t="shared" si="103"/>
        <v>1.7498628498230313E-2</v>
      </c>
      <c r="N185" s="498">
        <f t="shared" si="101"/>
        <v>0.18085560236308951</v>
      </c>
      <c r="O185" s="506">
        <f>O186</f>
        <v>0.18085560236308951</v>
      </c>
      <c r="P185" s="504">
        <f t="shared" si="103"/>
        <v>0</v>
      </c>
      <c r="Q185" s="498">
        <f t="shared" si="103"/>
        <v>0.14704234675558958</v>
      </c>
      <c r="R185" s="130"/>
      <c r="T185" s="130" t="b">
        <v>1</v>
      </c>
      <c r="U185" s="130" t="b">
        <v>1</v>
      </c>
      <c r="V185" s="130" t="b">
        <v>1</v>
      </c>
      <c r="W185" s="130" t="b">
        <v>1</v>
      </c>
      <c r="X185" s="130" t="b">
        <v>1</v>
      </c>
      <c r="Y185" s="130" t="b">
        <v>1</v>
      </c>
      <c r="Z185" s="130" t="b">
        <v>1</v>
      </c>
      <c r="AA185" s="130" t="b">
        <v>1</v>
      </c>
      <c r="AB185" s="130" t="b">
        <v>1</v>
      </c>
      <c r="AC185" s="130" t="b">
        <v>1</v>
      </c>
      <c r="AD185" s="130" t="b">
        <v>1</v>
      </c>
      <c r="AE185" s="130" t="b">
        <v>1</v>
      </c>
      <c r="AF185" s="130" t="b">
        <v>1</v>
      </c>
      <c r="AG185" s="172">
        <v>0</v>
      </c>
    </row>
    <row r="186" spans="1:33" s="130" customFormat="1" ht="15" thickBot="1">
      <c r="A186" s="507"/>
      <c r="B186" s="508" t="s">
        <v>492</v>
      </c>
      <c r="C186" s="193" t="s">
        <v>300</v>
      </c>
      <c r="D186" s="1304">
        <v>5.258582519</v>
      </c>
      <c r="E186" s="509">
        <f>SUM(F186:H186)</f>
        <v>1.499096251953036</v>
      </c>
      <c r="F186" s="510">
        <f>IFERROR($D186*F$235/100, 0)</f>
        <v>0.2982905915232768</v>
      </c>
      <c r="G186" s="511">
        <f>IFERROR($D186*G$235/100, 0)</f>
        <v>0.24701656132222977</v>
      </c>
      <c r="H186" s="512">
        <f>IFERROR($D186*H$235/100, 0)</f>
        <v>0.95378909910752929</v>
      </c>
      <c r="I186" s="513">
        <f t="shared" ref="I186:I233" si="104">SUM(J186:L186)</f>
        <v>3.4140896894300554</v>
      </c>
      <c r="J186" s="510">
        <f t="shared" ref="J186:Q186" si="105">IFERROR($D186*J$235/100, 0)</f>
        <v>1.587802952442106</v>
      </c>
      <c r="K186" s="511">
        <f t="shared" si="105"/>
        <v>1.3648042441766595</v>
      </c>
      <c r="L186" s="511">
        <f t="shared" si="105"/>
        <v>0.46148249281129011</v>
      </c>
      <c r="M186" s="514">
        <f t="shared" si="105"/>
        <v>1.7498628498230313E-2</v>
      </c>
      <c r="N186" s="513">
        <f t="shared" si="101"/>
        <v>0.18085560236308951</v>
      </c>
      <c r="O186" s="515">
        <f>IFERROR($D186*O$235/100, 0)</f>
        <v>0.18085560236308951</v>
      </c>
      <c r="P186" s="512">
        <f t="shared" si="105"/>
        <v>0</v>
      </c>
      <c r="Q186" s="513">
        <f t="shared" si="105"/>
        <v>0.14704234675558958</v>
      </c>
      <c r="S186" s="131"/>
      <c r="T186" s="130" t="b">
        <v>1</v>
      </c>
      <c r="U186" s="130" t="b">
        <v>1</v>
      </c>
      <c r="V186" s="130" t="b">
        <v>1</v>
      </c>
      <c r="W186" s="130" t="b">
        <v>1</v>
      </c>
      <c r="X186" s="130" t="b">
        <v>1</v>
      </c>
      <c r="Y186" s="130" t="b">
        <v>1</v>
      </c>
      <c r="Z186" s="130" t="b">
        <v>1</v>
      </c>
      <c r="AA186" s="130" t="b">
        <v>1</v>
      </c>
      <c r="AB186" s="130" t="b">
        <v>1</v>
      </c>
      <c r="AC186" s="130" t="b">
        <v>1</v>
      </c>
      <c r="AD186" s="130" t="b">
        <v>1</v>
      </c>
      <c r="AE186" s="130" t="b">
        <v>1</v>
      </c>
      <c r="AF186" s="130" t="b">
        <v>1</v>
      </c>
      <c r="AG186" s="172">
        <v>0</v>
      </c>
    </row>
    <row r="187" spans="1:33">
      <c r="A187" s="516"/>
      <c r="B187" s="271" t="s">
        <v>164</v>
      </c>
      <c r="C187" s="233" t="s">
        <v>307</v>
      </c>
      <c r="D187" s="517">
        <f>SUM(D188:D189)</f>
        <v>0.46505999999999997</v>
      </c>
      <c r="E187" s="518">
        <f>SUM(E188:E189)</f>
        <v>0.13257749601043747</v>
      </c>
      <c r="F187" s="519">
        <f t="shared" ref="F187:Q187" si="106">SUM(F188:F189)</f>
        <v>2.6380307239182662E-2</v>
      </c>
      <c r="G187" s="520">
        <f t="shared" si="106"/>
        <v>2.1845720133410001E-2</v>
      </c>
      <c r="H187" s="521">
        <f t="shared" si="106"/>
        <v>8.4351468637844818E-2</v>
      </c>
      <c r="I187" s="522">
        <f t="shared" si="104"/>
        <v>0.30193622430180633</v>
      </c>
      <c r="J187" s="519">
        <f t="shared" si="106"/>
        <v>0.14042256414056395</v>
      </c>
      <c r="K187" s="520">
        <f t="shared" si="106"/>
        <v>0.12070094165176251</v>
      </c>
      <c r="L187" s="520">
        <f t="shared" si="106"/>
        <v>4.0812718509479866E-2</v>
      </c>
      <c r="M187" s="523">
        <f t="shared" si="106"/>
        <v>1.5475486293090514E-3</v>
      </c>
      <c r="N187" s="522">
        <f t="shared" si="101"/>
        <v>1.5994558634590556E-2</v>
      </c>
      <c r="O187" s="524">
        <f>SUM(O188:O189)</f>
        <v>1.5994558634590556E-2</v>
      </c>
      <c r="P187" s="521">
        <f t="shared" si="106"/>
        <v>0</v>
      </c>
      <c r="Q187" s="522">
        <f t="shared" si="106"/>
        <v>1.3004172423856661E-2</v>
      </c>
      <c r="R187" s="130"/>
      <c r="T187" s="130" t="b">
        <v>1</v>
      </c>
      <c r="U187" s="130" t="b">
        <v>1</v>
      </c>
      <c r="V187" s="130" t="b">
        <v>1</v>
      </c>
      <c r="W187" s="130" t="b">
        <v>1</v>
      </c>
      <c r="X187" s="525">
        <v>0</v>
      </c>
      <c r="Y187" s="130" t="b">
        <v>1</v>
      </c>
      <c r="Z187" s="130" t="b">
        <v>1</v>
      </c>
      <c r="AA187" s="130" t="b">
        <v>1</v>
      </c>
      <c r="AB187" s="130" t="b">
        <v>1</v>
      </c>
      <c r="AC187" s="130" t="b">
        <v>1</v>
      </c>
      <c r="AD187" s="130" t="b">
        <v>1</v>
      </c>
      <c r="AE187" s="130" t="b">
        <v>1</v>
      </c>
      <c r="AF187" s="130" t="b">
        <v>1</v>
      </c>
      <c r="AG187" s="130" t="b">
        <v>1</v>
      </c>
    </row>
    <row r="188" spans="1:33" ht="26.4">
      <c r="B188" s="292" t="s">
        <v>493</v>
      </c>
      <c r="C188" s="184" t="s">
        <v>309</v>
      </c>
      <c r="D188" s="386">
        <v>0</v>
      </c>
      <c r="E188" s="238">
        <f>SUM(F188:H188)</f>
        <v>0</v>
      </c>
      <c r="F188" s="239">
        <f t="shared" ref="F188:H189" si="107">IFERROR($D188*F$235/100, 0)</f>
        <v>0</v>
      </c>
      <c r="G188" s="240">
        <f t="shared" si="107"/>
        <v>0</v>
      </c>
      <c r="H188" s="241">
        <f t="shared" si="107"/>
        <v>0</v>
      </c>
      <c r="I188" s="237">
        <f t="shared" si="104"/>
        <v>0</v>
      </c>
      <c r="J188" s="239">
        <f t="shared" ref="J188:Q189" si="108">IFERROR($D188*J$235/100, 0)</f>
        <v>0</v>
      </c>
      <c r="K188" s="240">
        <f t="shared" si="108"/>
        <v>0</v>
      </c>
      <c r="L188" s="240">
        <f t="shared" si="108"/>
        <v>0</v>
      </c>
      <c r="M188" s="242">
        <f t="shared" si="108"/>
        <v>0</v>
      </c>
      <c r="N188" s="237">
        <f t="shared" si="101"/>
        <v>0</v>
      </c>
      <c r="O188" s="526">
        <f>IFERROR($D188*O$235/100, 0)</f>
        <v>0</v>
      </c>
      <c r="P188" s="241">
        <f t="shared" si="108"/>
        <v>0</v>
      </c>
      <c r="Q188" s="237">
        <f t="shared" si="108"/>
        <v>0</v>
      </c>
      <c r="R188" s="130"/>
      <c r="T188" s="130" t="b">
        <v>1</v>
      </c>
      <c r="U188" s="130" t="b">
        <v>1</v>
      </c>
      <c r="V188" s="130" t="b">
        <v>1</v>
      </c>
      <c r="W188" s="130" t="b">
        <v>1</v>
      </c>
      <c r="X188" s="130" t="b">
        <v>1</v>
      </c>
      <c r="Y188" s="130" t="b">
        <v>1</v>
      </c>
      <c r="Z188" s="130" t="b">
        <v>1</v>
      </c>
      <c r="AA188" s="130" t="b">
        <v>1</v>
      </c>
      <c r="AB188" s="130" t="b">
        <v>1</v>
      </c>
      <c r="AC188" s="130" t="b">
        <v>1</v>
      </c>
      <c r="AD188" s="130" t="b">
        <v>1</v>
      </c>
      <c r="AE188" s="130" t="b">
        <v>1</v>
      </c>
      <c r="AF188" s="130" t="b">
        <v>1</v>
      </c>
      <c r="AG188" s="130" t="b">
        <v>1</v>
      </c>
    </row>
    <row r="189" spans="1:33" ht="15" thickBot="1">
      <c r="B189" s="527" t="s">
        <v>494</v>
      </c>
      <c r="C189" s="528" t="s">
        <v>311</v>
      </c>
      <c r="D189" s="1303">
        <v>0.46505999999999997</v>
      </c>
      <c r="E189" s="400">
        <f>SUM(F189:H189)</f>
        <v>0.13257749601043747</v>
      </c>
      <c r="F189" s="401">
        <f t="shared" si="107"/>
        <v>2.6380307239182662E-2</v>
      </c>
      <c r="G189" s="402">
        <f t="shared" si="107"/>
        <v>2.1845720133410001E-2</v>
      </c>
      <c r="H189" s="403">
        <f t="shared" si="107"/>
        <v>8.4351468637844818E-2</v>
      </c>
      <c r="I189" s="404">
        <f t="shared" si="104"/>
        <v>0.30193622430180633</v>
      </c>
      <c r="J189" s="401">
        <f t="shared" si="108"/>
        <v>0.14042256414056395</v>
      </c>
      <c r="K189" s="402">
        <f t="shared" si="108"/>
        <v>0.12070094165176251</v>
      </c>
      <c r="L189" s="402">
        <f t="shared" si="108"/>
        <v>4.0812718509479866E-2</v>
      </c>
      <c r="M189" s="405">
        <f t="shared" si="108"/>
        <v>1.5475486293090514E-3</v>
      </c>
      <c r="N189" s="404">
        <f t="shared" si="101"/>
        <v>1.5994558634590556E-2</v>
      </c>
      <c r="O189" s="529">
        <f>IFERROR($D189*O$235/100, 0)</f>
        <v>1.5994558634590556E-2</v>
      </c>
      <c r="P189" s="403">
        <f t="shared" si="108"/>
        <v>0</v>
      </c>
      <c r="Q189" s="404">
        <f t="shared" si="108"/>
        <v>1.3004172423856661E-2</v>
      </c>
      <c r="R189" s="130"/>
      <c r="T189" s="130" t="b">
        <v>1</v>
      </c>
      <c r="U189" s="130" t="b">
        <v>1</v>
      </c>
      <c r="V189" s="130" t="b">
        <v>1</v>
      </c>
      <c r="W189" s="130" t="b">
        <v>1</v>
      </c>
      <c r="X189" s="525">
        <v>0</v>
      </c>
      <c r="Y189" s="130" t="b">
        <v>1</v>
      </c>
      <c r="Z189" s="130" t="b">
        <v>1</v>
      </c>
      <c r="AA189" s="130" t="b">
        <v>1</v>
      </c>
      <c r="AB189" s="130" t="b">
        <v>1</v>
      </c>
      <c r="AC189" s="130" t="b">
        <v>1</v>
      </c>
      <c r="AD189" s="130" t="b">
        <v>1</v>
      </c>
      <c r="AE189" s="130" t="b">
        <v>1</v>
      </c>
      <c r="AF189" s="130" t="b">
        <v>1</v>
      </c>
      <c r="AG189" s="130" t="b">
        <v>1</v>
      </c>
    </row>
    <row r="190" spans="1:33">
      <c r="B190" s="154" t="s">
        <v>166</v>
      </c>
      <c r="C190" s="155" t="s">
        <v>313</v>
      </c>
      <c r="D190" s="530">
        <f>D191</f>
        <v>13.56711</v>
      </c>
      <c r="E190" s="157">
        <f t="shared" ref="E190:E233" si="109">SUM(F190:H190)</f>
        <v>3.8676589513141666</v>
      </c>
      <c r="F190" s="158">
        <f t="shared" ref="F190:Q190" si="110">F191</f>
        <v>0.76958785994879686</v>
      </c>
      <c r="G190" s="159">
        <f t="shared" si="110"/>
        <v>0.63730118281337489</v>
      </c>
      <c r="H190" s="160">
        <f t="shared" si="110"/>
        <v>2.460769908551995</v>
      </c>
      <c r="I190" s="156">
        <f t="shared" si="104"/>
        <v>8.8083300393224082</v>
      </c>
      <c r="J190" s="158">
        <f t="shared" si="110"/>
        <v>4.0965216836044522</v>
      </c>
      <c r="K190" s="159">
        <f t="shared" si="110"/>
        <v>3.5211864114158247</v>
      </c>
      <c r="L190" s="159">
        <f t="shared" si="110"/>
        <v>1.1906219443021318</v>
      </c>
      <c r="M190" s="161">
        <f t="shared" si="110"/>
        <v>4.5146352049596022E-2</v>
      </c>
      <c r="N190" s="156">
        <f t="shared" si="101"/>
        <v>0.46660632261845758</v>
      </c>
      <c r="O190" s="531">
        <f>O191</f>
        <v>0.46660632261845758</v>
      </c>
      <c r="P190" s="160">
        <f t="shared" si="110"/>
        <v>0</v>
      </c>
      <c r="Q190" s="156">
        <f t="shared" si="110"/>
        <v>0.37936833469537246</v>
      </c>
      <c r="R190" s="130"/>
      <c r="T190" s="130" t="b">
        <v>1</v>
      </c>
      <c r="U190" s="130" t="b">
        <v>1</v>
      </c>
      <c r="V190" s="532">
        <v>0</v>
      </c>
      <c r="W190" s="130" t="b">
        <v>1</v>
      </c>
      <c r="X190" s="130" t="b">
        <v>1</v>
      </c>
      <c r="Y190" s="130" t="b">
        <v>1</v>
      </c>
      <c r="Z190" s="130" t="b">
        <v>1</v>
      </c>
      <c r="AA190" s="130" t="b">
        <v>1</v>
      </c>
      <c r="AB190" s="130" t="b">
        <v>1</v>
      </c>
      <c r="AC190" s="130" t="b">
        <v>1</v>
      </c>
      <c r="AD190" s="130" t="b">
        <v>1</v>
      </c>
      <c r="AE190" s="130" t="b">
        <v>1</v>
      </c>
      <c r="AF190" s="130" t="b">
        <v>1</v>
      </c>
      <c r="AG190" s="130" t="b">
        <v>1</v>
      </c>
    </row>
    <row r="191" spans="1:33" ht="15" thickBot="1">
      <c r="B191" s="183" t="s">
        <v>495</v>
      </c>
      <c r="C191" s="184" t="s">
        <v>315</v>
      </c>
      <c r="D191" s="1297">
        <v>13.56711</v>
      </c>
      <c r="E191" s="238">
        <f t="shared" si="109"/>
        <v>3.8676589513141666</v>
      </c>
      <c r="F191" s="239">
        <f>IFERROR($D191*F$235/100, 0)</f>
        <v>0.76958785994879686</v>
      </c>
      <c r="G191" s="240">
        <f>IFERROR($D191*G$235/100, 0)</f>
        <v>0.63730118281337489</v>
      </c>
      <c r="H191" s="241">
        <f>IFERROR($D191*H$235/100, 0)</f>
        <v>2.460769908551995</v>
      </c>
      <c r="I191" s="237">
        <f t="shared" si="104"/>
        <v>8.8083300393224082</v>
      </c>
      <c r="J191" s="239">
        <f t="shared" ref="J191:Q191" si="111">IFERROR($D191*J$235/100, 0)</f>
        <v>4.0965216836044522</v>
      </c>
      <c r="K191" s="240">
        <f t="shared" si="111"/>
        <v>3.5211864114158247</v>
      </c>
      <c r="L191" s="240">
        <f t="shared" si="111"/>
        <v>1.1906219443021318</v>
      </c>
      <c r="M191" s="242">
        <f t="shared" si="111"/>
        <v>4.5146352049596022E-2</v>
      </c>
      <c r="N191" s="237">
        <f t="shared" si="101"/>
        <v>0.46660632261845758</v>
      </c>
      <c r="O191" s="526">
        <f>IFERROR($D191*O$235/100, 0)</f>
        <v>0.46660632261845758</v>
      </c>
      <c r="P191" s="241">
        <f t="shared" si="111"/>
        <v>0</v>
      </c>
      <c r="Q191" s="237">
        <f t="shared" si="111"/>
        <v>0.37936833469537246</v>
      </c>
      <c r="R191" s="130"/>
      <c r="T191" s="130" t="b">
        <v>1</v>
      </c>
      <c r="U191" s="130" t="b">
        <v>1</v>
      </c>
      <c r="V191" s="532">
        <v>0</v>
      </c>
      <c r="W191" s="130" t="b">
        <v>1</v>
      </c>
      <c r="X191" s="130" t="b">
        <v>1</v>
      </c>
      <c r="Y191" s="130" t="b">
        <v>1</v>
      </c>
      <c r="Z191" s="130" t="b">
        <v>1</v>
      </c>
      <c r="AA191" s="130" t="b">
        <v>1</v>
      </c>
      <c r="AB191" s="130" t="b">
        <v>1</v>
      </c>
      <c r="AC191" s="130" t="b">
        <v>1</v>
      </c>
      <c r="AD191" s="130" t="b">
        <v>1</v>
      </c>
      <c r="AE191" s="130" t="b">
        <v>1</v>
      </c>
      <c r="AF191" s="130" t="b">
        <v>1</v>
      </c>
      <c r="AG191" s="130" t="b">
        <v>1</v>
      </c>
    </row>
    <row r="192" spans="1:33" s="130" customFormat="1">
      <c r="A192" s="516"/>
      <c r="B192" s="387" t="s">
        <v>168</v>
      </c>
      <c r="C192" s="533" t="s">
        <v>317</v>
      </c>
      <c r="D192" s="534">
        <f>SUM(D193:D197)</f>
        <v>0.61631000000000002</v>
      </c>
      <c r="E192" s="535">
        <f t="shared" si="109"/>
        <v>0.17569525774350137</v>
      </c>
      <c r="F192" s="536">
        <f>SUM(F193:F197)</f>
        <v>3.4959891529223477E-2</v>
      </c>
      <c r="G192" s="537">
        <f t="shared" ref="G192:Q192" si="112">SUM(G193:G197)</f>
        <v>2.8950534931883883E-2</v>
      </c>
      <c r="H192" s="538">
        <f t="shared" si="112"/>
        <v>0.11178483128239398</v>
      </c>
      <c r="I192" s="539">
        <f t="shared" si="104"/>
        <v>0.40013399217186224</v>
      </c>
      <c r="J192" s="536">
        <f t="shared" si="112"/>
        <v>0.18609175268883796</v>
      </c>
      <c r="K192" s="537">
        <f t="shared" si="112"/>
        <v>0.15995612899281331</v>
      </c>
      <c r="L192" s="537">
        <f t="shared" si="112"/>
        <v>5.4086110490211024E-2</v>
      </c>
      <c r="M192" s="540">
        <f t="shared" si="112"/>
        <v>2.0508529990312251E-3</v>
      </c>
      <c r="N192" s="539">
        <f t="shared" si="101"/>
        <v>2.1196418595631761E-2</v>
      </c>
      <c r="O192" s="541">
        <f>SUM(O193:O197)</f>
        <v>2.1196418595631761E-2</v>
      </c>
      <c r="P192" s="538">
        <f t="shared" si="112"/>
        <v>0</v>
      </c>
      <c r="Q192" s="539">
        <f t="shared" si="112"/>
        <v>1.7233478489973548E-2</v>
      </c>
      <c r="S192" s="131"/>
      <c r="T192" s="130" t="b">
        <v>1</v>
      </c>
      <c r="U192" s="130" t="b">
        <v>1</v>
      </c>
      <c r="V192" s="130" t="b">
        <v>1</v>
      </c>
      <c r="W192" s="130" t="b">
        <v>1</v>
      </c>
      <c r="X192" s="130" t="b">
        <v>1</v>
      </c>
      <c r="Y192" s="130" t="b">
        <v>1</v>
      </c>
      <c r="Z192" s="130" t="b">
        <v>1</v>
      </c>
      <c r="AA192" s="130" t="b">
        <v>1</v>
      </c>
      <c r="AB192" s="130" t="b">
        <v>1</v>
      </c>
      <c r="AC192" s="130" t="b">
        <v>1</v>
      </c>
      <c r="AD192" s="130" t="b">
        <v>1</v>
      </c>
      <c r="AE192" s="130" t="b">
        <v>1</v>
      </c>
      <c r="AF192" s="130" t="b">
        <v>1</v>
      </c>
      <c r="AG192" s="130" t="b">
        <v>1</v>
      </c>
    </row>
    <row r="193" spans="1:33" s="130" customFormat="1">
      <c r="A193" s="131"/>
      <c r="B193" s="192" t="s">
        <v>496</v>
      </c>
      <c r="C193" s="193" t="s">
        <v>270</v>
      </c>
      <c r="D193" s="1302">
        <v>0.36431000000000002</v>
      </c>
      <c r="E193" s="300">
        <f t="shared" si="109"/>
        <v>0.10385607786428093</v>
      </c>
      <c r="F193" s="391">
        <f t="shared" ref="F193:H197" si="113">IFERROR($D193*F$235/100, 0)</f>
        <v>2.0665311422841434E-2</v>
      </c>
      <c r="G193" s="392">
        <f t="shared" si="113"/>
        <v>1.711309143293897E-2</v>
      </c>
      <c r="H193" s="393">
        <f t="shared" si="113"/>
        <v>6.6077675008500522E-2</v>
      </c>
      <c r="I193" s="304">
        <f t="shared" si="104"/>
        <v>0.236525149175141</v>
      </c>
      <c r="J193" s="391">
        <f t="shared" ref="J193:Q197" si="114">IFERROR($D193*J$235/100, 0)</f>
        <v>0.11000160052906907</v>
      </c>
      <c r="K193" s="392">
        <f t="shared" si="114"/>
        <v>9.4552444960120413E-2</v>
      </c>
      <c r="L193" s="392">
        <f t="shared" si="114"/>
        <v>3.1971103685951519E-2</v>
      </c>
      <c r="M193" s="394">
        <f t="shared" si="114"/>
        <v>1.2122896855106451E-3</v>
      </c>
      <c r="N193" s="304">
        <f t="shared" si="101"/>
        <v>1.252951803244245E-2</v>
      </c>
      <c r="O193" s="542">
        <f>IFERROR($D193*O$235/100, 0)</f>
        <v>1.252951803244245E-2</v>
      </c>
      <c r="P193" s="393">
        <f t="shared" si="114"/>
        <v>0</v>
      </c>
      <c r="Q193" s="304">
        <f t="shared" si="114"/>
        <v>1.0186965242625081E-2</v>
      </c>
      <c r="S193" s="131"/>
      <c r="T193" s="130" t="b">
        <v>1</v>
      </c>
      <c r="U193" s="130" t="b">
        <v>1</v>
      </c>
      <c r="V193" s="130" t="b">
        <v>1</v>
      </c>
      <c r="W193" s="130" t="b">
        <v>1</v>
      </c>
      <c r="X193" s="130" t="b">
        <v>1</v>
      </c>
      <c r="Y193" s="130" t="b">
        <v>1</v>
      </c>
      <c r="Z193" s="130" t="b">
        <v>1</v>
      </c>
      <c r="AA193" s="130" t="b">
        <v>1</v>
      </c>
      <c r="AB193" s="130" t="b">
        <v>1</v>
      </c>
      <c r="AC193" s="130" t="b">
        <v>1</v>
      </c>
      <c r="AD193" s="130" t="b">
        <v>1</v>
      </c>
      <c r="AE193" s="130" t="b">
        <v>1</v>
      </c>
      <c r="AF193" s="130" t="b">
        <v>1</v>
      </c>
      <c r="AG193" s="130" t="b">
        <v>1</v>
      </c>
    </row>
    <row r="194" spans="1:33" s="130" customFormat="1">
      <c r="A194" s="131"/>
      <c r="B194" s="192" t="s">
        <v>497</v>
      </c>
      <c r="C194" s="193" t="s">
        <v>274</v>
      </c>
      <c r="D194" s="1302">
        <v>0</v>
      </c>
      <c r="E194" s="300">
        <f t="shared" si="109"/>
        <v>0</v>
      </c>
      <c r="F194" s="391">
        <f t="shared" si="113"/>
        <v>0</v>
      </c>
      <c r="G194" s="392">
        <f t="shared" si="113"/>
        <v>0</v>
      </c>
      <c r="H194" s="393">
        <f t="shared" si="113"/>
        <v>0</v>
      </c>
      <c r="I194" s="304">
        <f t="shared" si="104"/>
        <v>0</v>
      </c>
      <c r="J194" s="391">
        <f t="shared" si="114"/>
        <v>0</v>
      </c>
      <c r="K194" s="392">
        <f t="shared" si="114"/>
        <v>0</v>
      </c>
      <c r="L194" s="392">
        <f t="shared" si="114"/>
        <v>0</v>
      </c>
      <c r="M194" s="394">
        <f t="shared" si="114"/>
        <v>0</v>
      </c>
      <c r="N194" s="304">
        <f t="shared" si="101"/>
        <v>0</v>
      </c>
      <c r="O194" s="542">
        <f>IFERROR($D194*O$235/100, 0)</f>
        <v>0</v>
      </c>
      <c r="P194" s="393">
        <f t="shared" si="114"/>
        <v>0</v>
      </c>
      <c r="Q194" s="304">
        <f t="shared" si="114"/>
        <v>0</v>
      </c>
      <c r="S194" s="131"/>
      <c r="T194" s="130" t="b">
        <v>1</v>
      </c>
      <c r="U194" s="130" t="b">
        <v>1</v>
      </c>
      <c r="V194" s="130" t="b">
        <v>1</v>
      </c>
      <c r="W194" s="130" t="b">
        <v>1</v>
      </c>
      <c r="X194" s="130" t="b">
        <v>1</v>
      </c>
      <c r="Y194" s="130" t="b">
        <v>1</v>
      </c>
      <c r="Z194" s="130" t="b">
        <v>1</v>
      </c>
      <c r="AA194" s="130" t="b">
        <v>1</v>
      </c>
      <c r="AB194" s="130" t="b">
        <v>1</v>
      </c>
      <c r="AC194" s="130" t="b">
        <v>1</v>
      </c>
      <c r="AD194" s="130" t="b">
        <v>1</v>
      </c>
      <c r="AE194" s="130" t="b">
        <v>1</v>
      </c>
      <c r="AF194" s="130" t="b">
        <v>1</v>
      </c>
      <c r="AG194" s="130" t="b">
        <v>1</v>
      </c>
    </row>
    <row r="195" spans="1:33" s="130" customFormat="1">
      <c r="A195" s="131"/>
      <c r="B195" s="192" t="s">
        <v>498</v>
      </c>
      <c r="C195" s="308" t="s">
        <v>321</v>
      </c>
      <c r="D195" s="1302">
        <v>0.252</v>
      </c>
      <c r="E195" s="300">
        <f t="shared" si="109"/>
        <v>7.1839179879220422E-2</v>
      </c>
      <c r="F195" s="391">
        <f t="shared" si="113"/>
        <v>1.429458010638204E-2</v>
      </c>
      <c r="G195" s="392">
        <f t="shared" si="113"/>
        <v>1.1837443498944911E-2</v>
      </c>
      <c r="H195" s="393">
        <f t="shared" si="113"/>
        <v>4.5707156273893462E-2</v>
      </c>
      <c r="I195" s="304">
        <f t="shared" si="104"/>
        <v>0.16360884299672127</v>
      </c>
      <c r="J195" s="391">
        <f t="shared" si="114"/>
        <v>7.6090152159768887E-2</v>
      </c>
      <c r="K195" s="392">
        <f t="shared" si="114"/>
        <v>6.540368403269288E-2</v>
      </c>
      <c r="L195" s="392">
        <f t="shared" si="114"/>
        <v>2.2115006804259506E-2</v>
      </c>
      <c r="M195" s="394">
        <f t="shared" si="114"/>
        <v>8.3856331352058012E-4</v>
      </c>
      <c r="N195" s="304">
        <f t="shared" si="101"/>
        <v>8.6669005631893094E-3</v>
      </c>
      <c r="O195" s="542">
        <f>IFERROR($D195*O$235/100, 0)</f>
        <v>8.6669005631893094E-3</v>
      </c>
      <c r="P195" s="393">
        <f t="shared" si="114"/>
        <v>0</v>
      </c>
      <c r="Q195" s="304">
        <f t="shared" si="114"/>
        <v>7.046513247348468E-3</v>
      </c>
      <c r="S195" s="131"/>
      <c r="T195" s="130" t="b">
        <v>1</v>
      </c>
      <c r="U195" s="130" t="b">
        <v>1</v>
      </c>
      <c r="V195" s="130" t="b">
        <v>1</v>
      </c>
      <c r="W195" s="130" t="b">
        <v>1</v>
      </c>
      <c r="X195" s="130" t="b">
        <v>1</v>
      </c>
      <c r="Y195" s="130" t="b">
        <v>1</v>
      </c>
      <c r="Z195" s="130" t="b">
        <v>1</v>
      </c>
      <c r="AA195" s="130" t="b">
        <v>1</v>
      </c>
      <c r="AB195" s="130" t="b">
        <v>1</v>
      </c>
      <c r="AC195" s="130" t="b">
        <v>1</v>
      </c>
      <c r="AD195" s="130" t="b">
        <v>1</v>
      </c>
      <c r="AE195" s="130" t="b">
        <v>1</v>
      </c>
      <c r="AF195" s="130" t="b">
        <v>1</v>
      </c>
      <c r="AG195" s="130" t="b">
        <v>1</v>
      </c>
    </row>
    <row r="196" spans="1:33" s="130" customFormat="1">
      <c r="A196" s="131"/>
      <c r="B196" s="192" t="s">
        <v>499</v>
      </c>
      <c r="C196" s="543" t="s">
        <v>272</v>
      </c>
      <c r="D196" s="1302">
        <v>0</v>
      </c>
      <c r="E196" s="300">
        <f t="shared" si="109"/>
        <v>0</v>
      </c>
      <c r="F196" s="391">
        <f t="shared" si="113"/>
        <v>0</v>
      </c>
      <c r="G196" s="392">
        <f t="shared" si="113"/>
        <v>0</v>
      </c>
      <c r="H196" s="393">
        <f t="shared" si="113"/>
        <v>0</v>
      </c>
      <c r="I196" s="304">
        <f t="shared" si="104"/>
        <v>0</v>
      </c>
      <c r="J196" s="391">
        <f t="shared" si="114"/>
        <v>0</v>
      </c>
      <c r="K196" s="392">
        <f t="shared" si="114"/>
        <v>0</v>
      </c>
      <c r="L196" s="392">
        <f t="shared" si="114"/>
        <v>0</v>
      </c>
      <c r="M196" s="394">
        <f t="shared" si="114"/>
        <v>0</v>
      </c>
      <c r="N196" s="304">
        <f t="shared" si="101"/>
        <v>0</v>
      </c>
      <c r="O196" s="542">
        <f>IFERROR($D196*O$235/100, 0)</f>
        <v>0</v>
      </c>
      <c r="P196" s="393">
        <f t="shared" si="114"/>
        <v>0</v>
      </c>
      <c r="Q196" s="304">
        <f t="shared" si="114"/>
        <v>0</v>
      </c>
      <c r="S196" s="131"/>
      <c r="T196" s="130" t="b">
        <v>1</v>
      </c>
      <c r="U196" s="130" t="b">
        <v>1</v>
      </c>
      <c r="V196" s="130" t="b">
        <v>1</v>
      </c>
      <c r="W196" s="130" t="b">
        <v>1</v>
      </c>
      <c r="X196" s="130" t="b">
        <v>1</v>
      </c>
      <c r="Y196" s="130" t="b">
        <v>1</v>
      </c>
      <c r="Z196" s="130" t="b">
        <v>1</v>
      </c>
      <c r="AA196" s="130" t="b">
        <v>1</v>
      </c>
      <c r="AB196" s="130" t="b">
        <v>1</v>
      </c>
      <c r="AC196" s="130" t="b">
        <v>1</v>
      </c>
      <c r="AD196" s="130" t="b">
        <v>1</v>
      </c>
      <c r="AE196" s="130" t="b">
        <v>1</v>
      </c>
      <c r="AF196" s="130" t="b">
        <v>1</v>
      </c>
      <c r="AG196" s="130" t="b">
        <v>1</v>
      </c>
    </row>
    <row r="197" spans="1:33" s="130" customFormat="1" ht="27.6" thickBot="1">
      <c r="A197" s="131"/>
      <c r="B197" s="192" t="s">
        <v>500</v>
      </c>
      <c r="C197" s="543" t="s">
        <v>324</v>
      </c>
      <c r="D197" s="1279">
        <v>0</v>
      </c>
      <c r="E197" s="300">
        <f t="shared" si="109"/>
        <v>0</v>
      </c>
      <c r="F197" s="391">
        <f t="shared" si="113"/>
        <v>0</v>
      </c>
      <c r="G197" s="392">
        <f t="shared" si="113"/>
        <v>0</v>
      </c>
      <c r="H197" s="393">
        <f t="shared" si="113"/>
        <v>0</v>
      </c>
      <c r="I197" s="304">
        <f t="shared" si="104"/>
        <v>0</v>
      </c>
      <c r="J197" s="391">
        <f t="shared" si="114"/>
        <v>0</v>
      </c>
      <c r="K197" s="392">
        <f t="shared" si="114"/>
        <v>0</v>
      </c>
      <c r="L197" s="392">
        <f t="shared" si="114"/>
        <v>0</v>
      </c>
      <c r="M197" s="394">
        <f t="shared" si="114"/>
        <v>0</v>
      </c>
      <c r="N197" s="304">
        <f t="shared" si="101"/>
        <v>0</v>
      </c>
      <c r="O197" s="542">
        <f>IFERROR($D197*O$235/100, 0)</f>
        <v>0</v>
      </c>
      <c r="P197" s="393">
        <f t="shared" si="114"/>
        <v>0</v>
      </c>
      <c r="Q197" s="304">
        <f t="shared" si="114"/>
        <v>0</v>
      </c>
      <c r="S197" s="131"/>
      <c r="T197" s="130" t="b">
        <v>1</v>
      </c>
      <c r="U197" s="130" t="b">
        <v>1</v>
      </c>
      <c r="V197" s="130" t="b">
        <v>1</v>
      </c>
      <c r="W197" s="130" t="b">
        <v>1</v>
      </c>
      <c r="X197" s="130" t="b">
        <v>1</v>
      </c>
      <c r="Y197" s="130" t="b">
        <v>1</v>
      </c>
      <c r="Z197" s="130" t="b">
        <v>1</v>
      </c>
      <c r="AA197" s="130" t="b">
        <v>1</v>
      </c>
      <c r="AB197" s="130" t="b">
        <v>1</v>
      </c>
      <c r="AC197" s="130" t="b">
        <v>1</v>
      </c>
      <c r="AD197" s="130" t="b">
        <v>1</v>
      </c>
      <c r="AE197" s="130" t="b">
        <v>1</v>
      </c>
      <c r="AF197" s="130" t="b">
        <v>1</v>
      </c>
      <c r="AG197" s="130" t="b">
        <v>1</v>
      </c>
    </row>
    <row r="198" spans="1:33" s="130" customFormat="1" ht="15" thickBot="1">
      <c r="A198" s="516"/>
      <c r="B198" s="387" t="s">
        <v>170</v>
      </c>
      <c r="C198" s="544" t="s">
        <v>326</v>
      </c>
      <c r="D198" s="1301">
        <v>2.5410925102040798</v>
      </c>
      <c r="E198" s="535">
        <f>SUM(F198:H198)</f>
        <v>0.72440476956464539</v>
      </c>
      <c r="F198" s="536">
        <f>IFERROR($D198*F$236/100, 0)</f>
        <v>0.14414226366999855</v>
      </c>
      <c r="G198" s="537">
        <f>IFERROR($D198*G$236/100, 0)</f>
        <v>0.11936523418703528</v>
      </c>
      <c r="H198" s="538">
        <f>IFERROR($D198*H$236/100, 0)</f>
        <v>0.46089727170761163</v>
      </c>
      <c r="I198" s="539">
        <f t="shared" si="104"/>
        <v>1.6497825616750939</v>
      </c>
      <c r="J198" s="536">
        <f t="shared" ref="J198:Q198" si="115">IFERROR($D198*J$236/100, 0)</f>
        <v>0.76727030060903767</v>
      </c>
      <c r="K198" s="537">
        <f t="shared" si="115"/>
        <v>0.65951115728265886</v>
      </c>
      <c r="L198" s="537">
        <f t="shared" si="115"/>
        <v>0.22300110378339716</v>
      </c>
      <c r="M198" s="540">
        <f t="shared" si="115"/>
        <v>8.4558212512661161E-3</v>
      </c>
      <c r="N198" s="539">
        <f t="shared" si="101"/>
        <v>8.7394428999221729E-2</v>
      </c>
      <c r="O198" s="541">
        <f>IFERROR($D198*O$236/100, 0)</f>
        <v>8.7394428999221729E-2</v>
      </c>
      <c r="P198" s="538">
        <f t="shared" si="115"/>
        <v>0</v>
      </c>
      <c r="Q198" s="539">
        <f t="shared" si="115"/>
        <v>7.1054928713853258E-2</v>
      </c>
      <c r="S198" s="131"/>
      <c r="T198" s="130" t="b">
        <v>1</v>
      </c>
      <c r="U198" s="130" t="b">
        <v>1</v>
      </c>
      <c r="V198" s="130" t="b">
        <v>1</v>
      </c>
      <c r="W198" s="130" t="b">
        <v>1</v>
      </c>
      <c r="X198" s="130" t="b">
        <v>1</v>
      </c>
      <c r="Y198" s="130" t="b">
        <v>1</v>
      </c>
      <c r="Z198" s="130" t="b">
        <v>1</v>
      </c>
      <c r="AA198" s="130" t="b">
        <v>1</v>
      </c>
      <c r="AB198" s="130" t="b">
        <v>1</v>
      </c>
      <c r="AC198" s="130" t="b">
        <v>1</v>
      </c>
      <c r="AD198" s="130" t="b">
        <v>1</v>
      </c>
      <c r="AE198" s="130" t="b">
        <v>1</v>
      </c>
      <c r="AF198" s="130" t="b">
        <v>1</v>
      </c>
      <c r="AG198" s="130" t="b">
        <v>1</v>
      </c>
    </row>
    <row r="199" spans="1:33" s="130" customFormat="1">
      <c r="A199" s="516"/>
      <c r="B199" s="387" t="s">
        <v>172</v>
      </c>
      <c r="C199" s="533" t="s">
        <v>328</v>
      </c>
      <c r="D199" s="534">
        <f>SUM(D200:D203)</f>
        <v>171.13879400000002</v>
      </c>
      <c r="E199" s="535">
        <f t="shared" si="109"/>
        <v>48.787581771741458</v>
      </c>
      <c r="F199" s="536">
        <f>SUM(F200:F203)</f>
        <v>9.7077666672325957</v>
      </c>
      <c r="G199" s="537">
        <f t="shared" ref="G199:Q199" si="116">SUM(G200:G203)</f>
        <v>8.0390706525895723</v>
      </c>
      <c r="H199" s="538">
        <f t="shared" si="116"/>
        <v>31.040744451919291</v>
      </c>
      <c r="I199" s="539">
        <f t="shared" si="104"/>
        <v>111.11039713569136</v>
      </c>
      <c r="J199" s="536">
        <f t="shared" si="116"/>
        <v>51.674511412298983</v>
      </c>
      <c r="K199" s="537">
        <f t="shared" si="116"/>
        <v>44.417093684571888</v>
      </c>
      <c r="L199" s="537">
        <f t="shared" si="116"/>
        <v>15.0187920388205</v>
      </c>
      <c r="M199" s="540">
        <f t="shared" si="116"/>
        <v>0.56948696098633333</v>
      </c>
      <c r="N199" s="539">
        <f t="shared" si="101"/>
        <v>5.8858845638973794</v>
      </c>
      <c r="O199" s="541">
        <f>SUM(O200:O203)</f>
        <v>5.8858845638973794</v>
      </c>
      <c r="P199" s="538">
        <f t="shared" si="116"/>
        <v>0</v>
      </c>
      <c r="Q199" s="539">
        <f t="shared" si="116"/>
        <v>4.7854435676834948</v>
      </c>
      <c r="S199" s="131"/>
      <c r="T199" s="130" t="b">
        <v>1</v>
      </c>
      <c r="U199" s="130" t="b">
        <v>1</v>
      </c>
      <c r="V199" s="130" t="b">
        <v>1</v>
      </c>
      <c r="W199" s="130" t="b">
        <v>1</v>
      </c>
      <c r="X199" s="130" t="b">
        <v>1</v>
      </c>
      <c r="Y199" s="525">
        <v>0</v>
      </c>
      <c r="Z199" s="130" t="b">
        <v>1</v>
      </c>
      <c r="AA199" s="130" t="b">
        <v>1</v>
      </c>
      <c r="AB199" s="130" t="b">
        <v>1</v>
      </c>
      <c r="AC199" s="130" t="b">
        <v>1</v>
      </c>
      <c r="AD199" s="130" t="b">
        <v>1</v>
      </c>
      <c r="AE199" s="130" t="b">
        <v>1</v>
      </c>
      <c r="AF199" s="130" t="b">
        <v>1</v>
      </c>
      <c r="AG199" s="130" t="b">
        <v>1</v>
      </c>
    </row>
    <row r="200" spans="1:33" s="130" customFormat="1">
      <c r="A200" s="131"/>
      <c r="B200" s="294" t="s">
        <v>501</v>
      </c>
      <c r="C200" s="295" t="s">
        <v>330</v>
      </c>
      <c r="D200" s="1300">
        <f>204.4512-37.41366</f>
        <v>167.03754000000001</v>
      </c>
      <c r="E200" s="300">
        <f t="shared" si="109"/>
        <v>47.618412232708238</v>
      </c>
      <c r="F200" s="391">
        <f t="shared" ref="F200:H203" si="117">IFERROR($D200*F$235/100, 0)</f>
        <v>9.4751249853293427</v>
      </c>
      <c r="G200" s="392">
        <f t="shared" si="117"/>
        <v>7.8464184204474225</v>
      </c>
      <c r="H200" s="393">
        <f t="shared" si="117"/>
        <v>30.296868826931473</v>
      </c>
      <c r="I200" s="304">
        <f t="shared" si="104"/>
        <v>108.447693081026</v>
      </c>
      <c r="J200" s="391">
        <f t="shared" ref="J200:Q203" si="118">IFERROR($D200*J$235/100, 0)</f>
        <v>50.436158075370962</v>
      </c>
      <c r="K200" s="392">
        <f t="shared" si="118"/>
        <v>43.352660665707532</v>
      </c>
      <c r="L200" s="392">
        <f t="shared" si="118"/>
        <v>14.658874339947499</v>
      </c>
      <c r="M200" s="394">
        <f t="shared" si="118"/>
        <v>0.55583949612986683</v>
      </c>
      <c r="N200" s="304">
        <f t="shared" si="101"/>
        <v>5.7448323392847502</v>
      </c>
      <c r="O200" s="542">
        <f>IFERROR($D200*O$235/100, 0)</f>
        <v>5.7448323392847502</v>
      </c>
      <c r="P200" s="393">
        <f t="shared" si="118"/>
        <v>0</v>
      </c>
      <c r="Q200" s="304">
        <f t="shared" si="118"/>
        <v>4.6707628508511894</v>
      </c>
      <c r="S200" s="131"/>
      <c r="T200" s="130" t="b">
        <v>1</v>
      </c>
      <c r="U200" s="130" t="b">
        <v>1</v>
      </c>
      <c r="V200" s="532">
        <v>0</v>
      </c>
      <c r="W200" s="130" t="b">
        <v>1</v>
      </c>
      <c r="X200" s="130" t="b">
        <v>1</v>
      </c>
      <c r="Y200" s="130" t="b">
        <v>1</v>
      </c>
      <c r="Z200" s="130" t="b">
        <v>1</v>
      </c>
      <c r="AA200" s="130" t="b">
        <v>1</v>
      </c>
      <c r="AB200" s="130" t="b">
        <v>1</v>
      </c>
      <c r="AC200" s="130" t="b">
        <v>1</v>
      </c>
      <c r="AD200" s="130" t="b">
        <v>1</v>
      </c>
      <c r="AE200" s="130" t="b">
        <v>1</v>
      </c>
      <c r="AF200" s="130" t="b">
        <v>1</v>
      </c>
      <c r="AG200" s="130" t="b">
        <v>1</v>
      </c>
    </row>
    <row r="201" spans="1:33" s="130" customFormat="1">
      <c r="A201" s="131"/>
      <c r="B201" s="294" t="s">
        <v>502</v>
      </c>
      <c r="C201" s="295" t="s">
        <v>332</v>
      </c>
      <c r="D201" s="1300">
        <f>2.946254</f>
        <v>2.9462540000000002</v>
      </c>
      <c r="E201" s="300">
        <f t="shared" si="109"/>
        <v>0.8399066312534631</v>
      </c>
      <c r="F201" s="391">
        <f t="shared" si="117"/>
        <v>0.16712485641566868</v>
      </c>
      <c r="G201" s="392">
        <f t="shared" si="117"/>
        <v>0.13839728277198587</v>
      </c>
      <c r="H201" s="393">
        <f t="shared" si="117"/>
        <v>0.53438449206580851</v>
      </c>
      <c r="I201" s="304">
        <f t="shared" si="104"/>
        <v>1.9128301909304049</v>
      </c>
      <c r="J201" s="391">
        <f t="shared" si="118"/>
        <v>0.88960680619574495</v>
      </c>
      <c r="K201" s="392">
        <f t="shared" si="118"/>
        <v>0.76466613371451397</v>
      </c>
      <c r="L201" s="392">
        <f t="shared" si="118"/>
        <v>0.25855725102014604</v>
      </c>
      <c r="M201" s="394">
        <f t="shared" si="118"/>
        <v>9.8040496694970763E-3</v>
      </c>
      <c r="N201" s="304">
        <f t="shared" si="101"/>
        <v>0.10132893036467762</v>
      </c>
      <c r="O201" s="542">
        <f>IFERROR($D201*O$235/100, 0)</f>
        <v>0.10132893036467762</v>
      </c>
      <c r="P201" s="393">
        <f t="shared" si="118"/>
        <v>0</v>
      </c>
      <c r="Q201" s="304">
        <f t="shared" si="118"/>
        <v>8.2384197781957991E-2</v>
      </c>
      <c r="S201" s="131"/>
      <c r="T201" s="130" t="b">
        <v>1</v>
      </c>
      <c r="U201" s="525">
        <v>0</v>
      </c>
      <c r="V201" s="130" t="b">
        <v>1</v>
      </c>
      <c r="W201" s="130" t="b">
        <v>1</v>
      </c>
      <c r="X201" s="130" t="b">
        <v>1</v>
      </c>
      <c r="Y201" s="130" t="b">
        <v>1</v>
      </c>
      <c r="Z201" s="130" t="b">
        <v>1</v>
      </c>
      <c r="AA201" s="130" t="b">
        <v>1</v>
      </c>
      <c r="AB201" s="130" t="b">
        <v>1</v>
      </c>
      <c r="AC201" s="130" t="b">
        <v>1</v>
      </c>
      <c r="AD201" s="172">
        <v>0</v>
      </c>
      <c r="AE201" s="545">
        <v>0</v>
      </c>
      <c r="AF201" s="130" t="b">
        <v>1</v>
      </c>
      <c r="AG201" s="130" t="b">
        <v>1</v>
      </c>
    </row>
    <row r="202" spans="1:33" s="130" customFormat="1">
      <c r="A202" s="131"/>
      <c r="B202" s="294" t="s">
        <v>503</v>
      </c>
      <c r="C202" s="295" t="s">
        <v>334</v>
      </c>
      <c r="D202" s="1298">
        <v>0.01</v>
      </c>
      <c r="E202" s="300">
        <f t="shared" si="109"/>
        <v>2.8507611063182704E-3</v>
      </c>
      <c r="F202" s="391">
        <f t="shared" si="117"/>
        <v>5.6724524231674758E-4</v>
      </c>
      <c r="G202" s="392">
        <f t="shared" si="117"/>
        <v>4.6973982138670279E-4</v>
      </c>
      <c r="H202" s="393">
        <f t="shared" si="117"/>
        <v>1.8137760426148203E-3</v>
      </c>
      <c r="I202" s="304">
        <f t="shared" si="104"/>
        <v>6.492414404631797E-3</v>
      </c>
      <c r="J202" s="391">
        <f t="shared" si="118"/>
        <v>3.0194504825305111E-3</v>
      </c>
      <c r="K202" s="392">
        <f t="shared" si="118"/>
        <v>2.5953842870116224E-3</v>
      </c>
      <c r="L202" s="392">
        <f t="shared" si="118"/>
        <v>8.7757963508966312E-4</v>
      </c>
      <c r="M202" s="394">
        <f t="shared" si="118"/>
        <v>3.327632196510239E-5</v>
      </c>
      <c r="N202" s="304">
        <f t="shared" si="101"/>
        <v>3.4392462552338527E-4</v>
      </c>
      <c r="O202" s="542">
        <f>IFERROR($D202*O$235/100, 0)</f>
        <v>3.4392462552338527E-4</v>
      </c>
      <c r="P202" s="393">
        <f t="shared" si="118"/>
        <v>0</v>
      </c>
      <c r="Q202" s="304">
        <f t="shared" si="118"/>
        <v>2.7962354156144717E-4</v>
      </c>
      <c r="S202" s="131"/>
      <c r="T202" s="130" t="b">
        <v>1</v>
      </c>
      <c r="U202" s="130" t="b">
        <v>1</v>
      </c>
      <c r="V202" s="130" t="b">
        <v>1</v>
      </c>
      <c r="W202" s="130" t="b">
        <v>1</v>
      </c>
      <c r="X202" s="130" t="b">
        <v>1</v>
      </c>
      <c r="Y202" s="525">
        <v>0</v>
      </c>
      <c r="Z202" s="130" t="b">
        <v>1</v>
      </c>
      <c r="AA202" s="130" t="b">
        <v>1</v>
      </c>
      <c r="AB202" s="130" t="b">
        <v>1</v>
      </c>
      <c r="AC202" s="130" t="b">
        <v>1</v>
      </c>
      <c r="AD202" s="172">
        <v>0</v>
      </c>
      <c r="AE202" s="545">
        <v>0</v>
      </c>
      <c r="AF202" s="130" t="b">
        <v>1</v>
      </c>
      <c r="AG202" s="130" t="b">
        <v>1</v>
      </c>
    </row>
    <row r="203" spans="1:33" s="130" customFormat="1" ht="15" thickBot="1">
      <c r="A203" s="131"/>
      <c r="B203" s="294" t="s">
        <v>504</v>
      </c>
      <c r="C203" s="295" t="s">
        <v>336</v>
      </c>
      <c r="D203" s="1298">
        <v>1.145</v>
      </c>
      <c r="E203" s="300">
        <f t="shared" si="109"/>
        <v>0.32641214667344198</v>
      </c>
      <c r="F203" s="391">
        <f t="shared" si="117"/>
        <v>6.4949580245267591E-2</v>
      </c>
      <c r="G203" s="392">
        <f t="shared" si="117"/>
        <v>5.3785209548777468E-2</v>
      </c>
      <c r="H203" s="393">
        <f t="shared" si="117"/>
        <v>0.20767735687939692</v>
      </c>
      <c r="I203" s="304">
        <f t="shared" si="104"/>
        <v>0.74338144933034067</v>
      </c>
      <c r="J203" s="391">
        <f t="shared" si="118"/>
        <v>0.34572708024974352</v>
      </c>
      <c r="K203" s="392">
        <f t="shared" si="118"/>
        <v>0.29717150086283078</v>
      </c>
      <c r="L203" s="392">
        <f t="shared" si="118"/>
        <v>0.10048286821776642</v>
      </c>
      <c r="M203" s="394">
        <f t="shared" si="118"/>
        <v>3.810138865004223E-3</v>
      </c>
      <c r="N203" s="304">
        <f t="shared" si="101"/>
        <v>3.9379369622427614E-2</v>
      </c>
      <c r="O203" s="542">
        <f>IFERROR($D203*O$235/100, 0)</f>
        <v>3.9379369622427614E-2</v>
      </c>
      <c r="P203" s="393">
        <f t="shared" si="118"/>
        <v>0</v>
      </c>
      <c r="Q203" s="304">
        <f t="shared" si="118"/>
        <v>3.2016895508785698E-2</v>
      </c>
      <c r="S203" s="131"/>
      <c r="T203" s="130" t="b">
        <v>1</v>
      </c>
      <c r="U203" s="130" t="b">
        <v>1</v>
      </c>
      <c r="V203" s="532">
        <v>0</v>
      </c>
      <c r="W203" s="130" t="b">
        <v>1</v>
      </c>
      <c r="X203" s="130" t="b">
        <v>1</v>
      </c>
      <c r="Y203" s="130" t="b">
        <v>1</v>
      </c>
      <c r="Z203" s="130" t="b">
        <v>1</v>
      </c>
      <c r="AA203" s="130" t="b">
        <v>1</v>
      </c>
      <c r="AB203" s="130" t="b">
        <v>1</v>
      </c>
      <c r="AC203" s="130" t="b">
        <v>1</v>
      </c>
      <c r="AD203" s="130" t="b">
        <v>1</v>
      </c>
      <c r="AE203" s="130" t="b">
        <v>1</v>
      </c>
      <c r="AF203" s="130" t="b">
        <v>1</v>
      </c>
      <c r="AG203" s="130" t="b">
        <v>1</v>
      </c>
    </row>
    <row r="204" spans="1:33" s="130" customFormat="1">
      <c r="A204" s="516"/>
      <c r="B204" s="387" t="s">
        <v>174</v>
      </c>
      <c r="C204" s="533" t="s">
        <v>338</v>
      </c>
      <c r="D204" s="534">
        <f>SUM(D205:D207)</f>
        <v>8.214599999999999</v>
      </c>
      <c r="E204" s="535">
        <f t="shared" si="109"/>
        <v>2.3417862183962064</v>
      </c>
      <c r="F204" s="536">
        <f>SUM(F205:F207)</f>
        <v>0.46596927675351546</v>
      </c>
      <c r="G204" s="537">
        <f>SUM(G205:G207)</f>
        <v>0.38587247367632083</v>
      </c>
      <c r="H204" s="538">
        <f>SUM(H205:H207)</f>
        <v>1.48994446796637</v>
      </c>
      <c r="I204" s="539">
        <f t="shared" si="104"/>
        <v>5.333258736828836</v>
      </c>
      <c r="J204" s="536">
        <f t="shared" ref="J204:Q204" si="119">SUM(J205:J207)</f>
        <v>2.4803577933795138</v>
      </c>
      <c r="K204" s="537">
        <f t="shared" si="119"/>
        <v>2.1320043764085672</v>
      </c>
      <c r="L204" s="537">
        <f t="shared" si="119"/>
        <v>0.72089656704075467</v>
      </c>
      <c r="M204" s="540">
        <f t="shared" si="119"/>
        <v>2.7335167441453007E-2</v>
      </c>
      <c r="N204" s="539">
        <f t="shared" si="101"/>
        <v>0.28252032288244006</v>
      </c>
      <c r="O204" s="541">
        <f>SUM(O205:O207)</f>
        <v>0.28252032288244006</v>
      </c>
      <c r="P204" s="538">
        <f t="shared" si="119"/>
        <v>0</v>
      </c>
      <c r="Q204" s="539">
        <f t="shared" si="119"/>
        <v>0.22969955445106638</v>
      </c>
      <c r="S204" s="131"/>
      <c r="T204" s="130" t="b">
        <v>1</v>
      </c>
      <c r="U204" s="130" t="b">
        <v>1</v>
      </c>
      <c r="V204" s="130" t="b">
        <v>1</v>
      </c>
      <c r="W204" s="130" t="b">
        <v>1</v>
      </c>
      <c r="X204" s="130" t="b">
        <v>1</v>
      </c>
      <c r="Y204" s="130" t="b">
        <v>1</v>
      </c>
      <c r="Z204" s="130" t="b">
        <v>1</v>
      </c>
      <c r="AA204" s="130" t="b">
        <v>1</v>
      </c>
      <c r="AB204" s="172">
        <v>0</v>
      </c>
      <c r="AC204" s="130" t="b">
        <v>1</v>
      </c>
      <c r="AD204" s="130" t="b">
        <v>1</v>
      </c>
      <c r="AE204" s="130" t="b">
        <v>1</v>
      </c>
      <c r="AF204" s="130" t="b">
        <v>1</v>
      </c>
      <c r="AG204" s="130" t="b">
        <v>1</v>
      </c>
    </row>
    <row r="205" spans="1:33" s="130" customFormat="1">
      <c r="A205" s="131"/>
      <c r="B205" s="294" t="s">
        <v>505</v>
      </c>
      <c r="C205" s="295" t="s">
        <v>344</v>
      </c>
      <c r="D205" s="1298">
        <v>0.55800000000000005</v>
      </c>
      <c r="E205" s="300">
        <f t="shared" si="109"/>
        <v>0.15907246973255951</v>
      </c>
      <c r="F205" s="391">
        <f t="shared" ref="F205:H207" si="120">IFERROR($D205*F$235/100, 0)</f>
        <v>3.1652284521274519E-2</v>
      </c>
      <c r="G205" s="392">
        <f t="shared" si="120"/>
        <v>2.621148203337802E-2</v>
      </c>
      <c r="H205" s="393">
        <f t="shared" si="120"/>
        <v>0.10120870317790696</v>
      </c>
      <c r="I205" s="304">
        <f t="shared" si="104"/>
        <v>0.36227672377845432</v>
      </c>
      <c r="J205" s="391">
        <f t="shared" ref="J205:Q207" si="121">IFERROR($D205*J$235/100, 0)</f>
        <v>0.16848533692520257</v>
      </c>
      <c r="K205" s="392">
        <f t="shared" si="121"/>
        <v>0.14482244321524854</v>
      </c>
      <c r="L205" s="392">
        <f t="shared" si="121"/>
        <v>4.89689436380032E-2</v>
      </c>
      <c r="M205" s="394">
        <f t="shared" si="121"/>
        <v>1.8568187656527132E-3</v>
      </c>
      <c r="N205" s="304">
        <f t="shared" si="101"/>
        <v>1.9190994104204901E-2</v>
      </c>
      <c r="O205" s="542">
        <f>IFERROR($D205*O$235/100, 0)</f>
        <v>1.9190994104204901E-2</v>
      </c>
      <c r="P205" s="393">
        <f t="shared" si="121"/>
        <v>0</v>
      </c>
      <c r="Q205" s="304">
        <f t="shared" si="121"/>
        <v>1.5602993619128753E-2</v>
      </c>
      <c r="S205" s="131"/>
      <c r="T205" s="130" t="b">
        <v>1</v>
      </c>
      <c r="U205" s="130" t="b">
        <v>1</v>
      </c>
      <c r="V205" s="532">
        <v>0</v>
      </c>
      <c r="W205" s="130" t="b">
        <v>1</v>
      </c>
      <c r="X205" s="130" t="b">
        <v>1</v>
      </c>
      <c r="Y205" s="130" t="b">
        <v>1</v>
      </c>
      <c r="Z205" s="130" t="b">
        <v>1</v>
      </c>
      <c r="AA205" s="130" t="b">
        <v>1</v>
      </c>
      <c r="AB205" s="130" t="b">
        <v>1</v>
      </c>
      <c r="AC205" s="130" t="b">
        <v>1</v>
      </c>
      <c r="AD205" s="172">
        <v>0</v>
      </c>
      <c r="AE205" s="545">
        <v>0</v>
      </c>
      <c r="AF205" s="130" t="b">
        <v>1</v>
      </c>
      <c r="AG205" s="130" t="b">
        <v>1</v>
      </c>
    </row>
    <row r="206" spans="1:33" s="130" customFormat="1">
      <c r="A206" s="131"/>
      <c r="B206" s="307" t="s">
        <v>506</v>
      </c>
      <c r="C206" s="295" t="s">
        <v>346</v>
      </c>
      <c r="D206" s="1299">
        <v>6.4555999999999996</v>
      </c>
      <c r="E206" s="300">
        <f t="shared" si="109"/>
        <v>1.8403373397948224</v>
      </c>
      <c r="F206" s="391">
        <f t="shared" si="120"/>
        <v>0.36619083862999957</v>
      </c>
      <c r="G206" s="392">
        <f t="shared" si="120"/>
        <v>0.30324523909439982</v>
      </c>
      <c r="H206" s="393">
        <f t="shared" si="120"/>
        <v>1.1709012620704231</v>
      </c>
      <c r="I206" s="304">
        <f t="shared" si="104"/>
        <v>4.1912430430541026</v>
      </c>
      <c r="J206" s="391">
        <f t="shared" si="121"/>
        <v>1.9492364535023967</v>
      </c>
      <c r="K206" s="392">
        <f t="shared" si="121"/>
        <v>1.6754762803232228</v>
      </c>
      <c r="L206" s="392">
        <f t="shared" si="121"/>
        <v>0.56653030922848291</v>
      </c>
      <c r="M206" s="394">
        <f t="shared" si="121"/>
        <v>2.1481862407791496E-2</v>
      </c>
      <c r="N206" s="304">
        <f t="shared" si="101"/>
        <v>0.22202398125287659</v>
      </c>
      <c r="O206" s="542">
        <f>IFERROR($D206*O$235/100, 0)</f>
        <v>0.22202398125287659</v>
      </c>
      <c r="P206" s="393">
        <f t="shared" si="121"/>
        <v>0</v>
      </c>
      <c r="Q206" s="304">
        <f t="shared" si="121"/>
        <v>0.18051377349040781</v>
      </c>
      <c r="S206" s="131"/>
      <c r="T206" s="130" t="b">
        <v>1</v>
      </c>
      <c r="U206" s="130" t="b">
        <v>1</v>
      </c>
      <c r="V206" s="130" t="b">
        <v>1</v>
      </c>
      <c r="W206" s="130" t="b">
        <v>1</v>
      </c>
      <c r="X206" s="130" t="b">
        <v>1</v>
      </c>
      <c r="Y206" s="130" t="b">
        <v>1</v>
      </c>
      <c r="Z206" s="130" t="b">
        <v>1</v>
      </c>
      <c r="AA206" s="130" t="b">
        <v>1</v>
      </c>
      <c r="AB206" s="130" t="b">
        <v>1</v>
      </c>
      <c r="AC206" s="130" t="b">
        <v>1</v>
      </c>
      <c r="AD206" s="130" t="b">
        <v>1</v>
      </c>
      <c r="AE206" s="130" t="b">
        <v>1</v>
      </c>
      <c r="AF206" s="130" t="b">
        <v>1</v>
      </c>
      <c r="AG206" s="130" t="b">
        <v>1</v>
      </c>
    </row>
    <row r="207" spans="1:33" s="130" customFormat="1" ht="15" thickBot="1">
      <c r="A207" s="131"/>
      <c r="B207" s="307" t="s">
        <v>507</v>
      </c>
      <c r="C207" s="308" t="s">
        <v>348</v>
      </c>
      <c r="D207" s="1298">
        <f>0.564+0.348+0.289</f>
        <v>1.2009999999999998</v>
      </c>
      <c r="E207" s="300">
        <f t="shared" si="109"/>
        <v>0.34237640886882426</v>
      </c>
      <c r="F207" s="391">
        <f t="shared" si="120"/>
        <v>6.8126153602241377E-2</v>
      </c>
      <c r="G207" s="392">
        <f t="shared" si="120"/>
        <v>5.6415752548543002E-2</v>
      </c>
      <c r="H207" s="393">
        <f t="shared" si="120"/>
        <v>0.21783450271803986</v>
      </c>
      <c r="I207" s="304">
        <f t="shared" si="104"/>
        <v>0.77973896999627879</v>
      </c>
      <c r="J207" s="391">
        <f t="shared" si="121"/>
        <v>0.36263600295191439</v>
      </c>
      <c r="K207" s="392">
        <f t="shared" si="121"/>
        <v>0.31170565287009583</v>
      </c>
      <c r="L207" s="392">
        <f t="shared" si="121"/>
        <v>0.10539731417426852</v>
      </c>
      <c r="M207" s="394">
        <f t="shared" si="121"/>
        <v>3.9964862680087962E-3</v>
      </c>
      <c r="N207" s="304">
        <f t="shared" si="101"/>
        <v>4.1305347525358568E-2</v>
      </c>
      <c r="O207" s="542">
        <f>IFERROR($D207*O$235/100, 0)</f>
        <v>4.1305347525358568E-2</v>
      </c>
      <c r="P207" s="393">
        <f t="shared" si="121"/>
        <v>0</v>
      </c>
      <c r="Q207" s="304">
        <f t="shared" si="121"/>
        <v>3.35827873415298E-2</v>
      </c>
      <c r="S207" s="131"/>
      <c r="T207" s="130" t="b">
        <v>1</v>
      </c>
      <c r="U207" s="130" t="b">
        <v>1</v>
      </c>
      <c r="V207" s="130" t="b">
        <v>1</v>
      </c>
      <c r="W207" s="130" t="b">
        <v>1</v>
      </c>
      <c r="X207" s="130" t="b">
        <v>1</v>
      </c>
      <c r="Y207" s="130" t="b">
        <v>1</v>
      </c>
      <c r="Z207" s="130" t="b">
        <v>1</v>
      </c>
      <c r="AA207" s="130" t="b">
        <v>1</v>
      </c>
      <c r="AB207" s="130" t="b">
        <v>1</v>
      </c>
      <c r="AC207" s="130" t="b">
        <v>1</v>
      </c>
      <c r="AD207" s="130" t="b">
        <v>1</v>
      </c>
      <c r="AE207" s="130" t="b">
        <v>1</v>
      </c>
      <c r="AF207" s="130" t="b">
        <v>1</v>
      </c>
      <c r="AG207" s="130" t="b">
        <v>1</v>
      </c>
    </row>
    <row r="208" spans="1:33">
      <c r="A208" s="516"/>
      <c r="B208" s="271" t="s">
        <v>176</v>
      </c>
      <c r="C208" s="233" t="s">
        <v>350</v>
      </c>
      <c r="D208" s="517">
        <f>SUM(D209:D210)</f>
        <v>1.28667</v>
      </c>
      <c r="E208" s="518">
        <f t="shared" si="109"/>
        <v>0.36679887926665289</v>
      </c>
      <c r="F208" s="519">
        <f>SUM(F209:F210)</f>
        <v>7.2985743593168964E-2</v>
      </c>
      <c r="G208" s="520">
        <f t="shared" ref="G208:Q208" si="122">SUM(G209:G210)</f>
        <v>6.0440013598362888E-2</v>
      </c>
      <c r="H208" s="521">
        <f t="shared" si="122"/>
        <v>0.23337312207512106</v>
      </c>
      <c r="I208" s="522">
        <f t="shared" si="104"/>
        <v>0.83535948420075945</v>
      </c>
      <c r="J208" s="519">
        <f t="shared" si="122"/>
        <v>0.38850363523575332</v>
      </c>
      <c r="K208" s="520">
        <f t="shared" si="122"/>
        <v>0.33394031005692443</v>
      </c>
      <c r="L208" s="520">
        <f t="shared" si="122"/>
        <v>0.11291553890808168</v>
      </c>
      <c r="M208" s="523">
        <f t="shared" si="122"/>
        <v>4.2815645182838289E-3</v>
      </c>
      <c r="N208" s="522">
        <f t="shared" si="101"/>
        <v>4.425174979221741E-2</v>
      </c>
      <c r="O208" s="524">
        <f>SUM(O209:O210)</f>
        <v>4.425174979221741E-2</v>
      </c>
      <c r="P208" s="521">
        <f t="shared" si="122"/>
        <v>0</v>
      </c>
      <c r="Q208" s="522">
        <f t="shared" si="122"/>
        <v>3.5978322222086717E-2</v>
      </c>
      <c r="R208" s="130"/>
      <c r="T208" s="130" t="b">
        <v>1</v>
      </c>
      <c r="U208" s="130" t="b">
        <v>1</v>
      </c>
      <c r="V208" s="130" t="b">
        <v>1</v>
      </c>
      <c r="W208" s="130" t="b">
        <v>1</v>
      </c>
      <c r="X208" s="130" t="b">
        <v>1</v>
      </c>
      <c r="Y208" s="130" t="b">
        <v>1</v>
      </c>
      <c r="Z208" s="130" t="b">
        <v>1</v>
      </c>
      <c r="AA208" s="130" t="b">
        <v>1</v>
      </c>
      <c r="AB208" s="130" t="b">
        <v>1</v>
      </c>
      <c r="AC208" s="130" t="b">
        <v>1</v>
      </c>
      <c r="AD208" s="130" t="b">
        <v>1</v>
      </c>
      <c r="AE208" s="130" t="b">
        <v>1</v>
      </c>
      <c r="AF208" s="130" t="b">
        <v>1</v>
      </c>
      <c r="AG208" s="130" t="b">
        <v>1</v>
      </c>
    </row>
    <row r="209" spans="1:33">
      <c r="B209" s="292" t="s">
        <v>508</v>
      </c>
      <c r="C209" s="293" t="s">
        <v>352</v>
      </c>
      <c r="D209" s="1297">
        <v>1.28667</v>
      </c>
      <c r="E209" s="238">
        <f t="shared" si="109"/>
        <v>0.36679887926665289</v>
      </c>
      <c r="F209" s="239">
        <f t="shared" ref="F209:H210" si="123">IFERROR($D209*F$235/100, 0)</f>
        <v>7.2985743593168964E-2</v>
      </c>
      <c r="G209" s="240">
        <f t="shared" si="123"/>
        <v>6.0440013598362888E-2</v>
      </c>
      <c r="H209" s="241">
        <f t="shared" si="123"/>
        <v>0.23337312207512106</v>
      </c>
      <c r="I209" s="237">
        <f t="shared" si="104"/>
        <v>0.83535948420075945</v>
      </c>
      <c r="J209" s="239">
        <f t="shared" ref="J209:Q210" si="124">IFERROR($D209*J$235/100, 0)</f>
        <v>0.38850363523575332</v>
      </c>
      <c r="K209" s="240">
        <f t="shared" si="124"/>
        <v>0.33394031005692443</v>
      </c>
      <c r="L209" s="240">
        <f t="shared" si="124"/>
        <v>0.11291553890808168</v>
      </c>
      <c r="M209" s="242">
        <f t="shared" si="124"/>
        <v>4.2815645182838289E-3</v>
      </c>
      <c r="N209" s="237">
        <f t="shared" si="101"/>
        <v>4.425174979221741E-2</v>
      </c>
      <c r="O209" s="526">
        <f>IFERROR($D209*O$235/100, 0)</f>
        <v>4.425174979221741E-2</v>
      </c>
      <c r="P209" s="241">
        <f t="shared" si="124"/>
        <v>0</v>
      </c>
      <c r="Q209" s="237">
        <f t="shared" si="124"/>
        <v>3.5978322222086717E-2</v>
      </c>
      <c r="R209" s="130"/>
      <c r="T209" s="130" t="b">
        <v>1</v>
      </c>
      <c r="U209" s="130" t="b">
        <v>1</v>
      </c>
      <c r="V209" s="130" t="b">
        <v>1</v>
      </c>
      <c r="W209" s="130" t="b">
        <v>1</v>
      </c>
      <c r="X209" s="130" t="b">
        <v>1</v>
      </c>
      <c r="Y209" s="130" t="b">
        <v>1</v>
      </c>
      <c r="Z209" s="130" t="b">
        <v>1</v>
      </c>
      <c r="AA209" s="130" t="b">
        <v>1</v>
      </c>
      <c r="AB209" s="130" t="b">
        <v>1</v>
      </c>
      <c r="AC209" s="130" t="b">
        <v>1</v>
      </c>
      <c r="AD209" s="130" t="b">
        <v>1</v>
      </c>
      <c r="AE209" s="130" t="b">
        <v>1</v>
      </c>
      <c r="AF209" s="130" t="b">
        <v>1</v>
      </c>
      <c r="AG209" s="130" t="b">
        <v>1</v>
      </c>
    </row>
    <row r="210" spans="1:33" ht="15" thickBot="1">
      <c r="B210" s="324" t="s">
        <v>509</v>
      </c>
      <c r="C210" s="284" t="s">
        <v>510</v>
      </c>
      <c r="D210" s="386">
        <v>0</v>
      </c>
      <c r="E210" s="238">
        <f t="shared" si="109"/>
        <v>0</v>
      </c>
      <c r="F210" s="239">
        <f t="shared" si="123"/>
        <v>0</v>
      </c>
      <c r="G210" s="240">
        <f t="shared" si="123"/>
        <v>0</v>
      </c>
      <c r="H210" s="241">
        <f t="shared" si="123"/>
        <v>0</v>
      </c>
      <c r="I210" s="237">
        <f t="shared" si="104"/>
        <v>0</v>
      </c>
      <c r="J210" s="239">
        <f t="shared" si="124"/>
        <v>0</v>
      </c>
      <c r="K210" s="240">
        <f t="shared" si="124"/>
        <v>0</v>
      </c>
      <c r="L210" s="240">
        <f t="shared" si="124"/>
        <v>0</v>
      </c>
      <c r="M210" s="242">
        <f t="shared" si="124"/>
        <v>0</v>
      </c>
      <c r="N210" s="237">
        <f t="shared" si="101"/>
        <v>0</v>
      </c>
      <c r="O210" s="526">
        <f>IFERROR($D210*O$235/100, 0)</f>
        <v>0</v>
      </c>
      <c r="P210" s="241">
        <f t="shared" si="124"/>
        <v>0</v>
      </c>
      <c r="Q210" s="237">
        <f t="shared" si="124"/>
        <v>0</v>
      </c>
      <c r="R210" s="130"/>
      <c r="T210" s="130" t="b">
        <v>1</v>
      </c>
      <c r="U210" s="130" t="b">
        <v>1</v>
      </c>
      <c r="V210" s="130" t="b">
        <v>1</v>
      </c>
      <c r="W210" s="130" t="b">
        <v>1</v>
      </c>
      <c r="X210" s="130" t="b">
        <v>1</v>
      </c>
      <c r="Y210" s="130" t="b">
        <v>1</v>
      </c>
      <c r="Z210" s="130" t="b">
        <v>1</v>
      </c>
      <c r="AA210" s="130" t="b">
        <v>1</v>
      </c>
      <c r="AB210" s="130" t="b">
        <v>1</v>
      </c>
      <c r="AC210" s="130" t="b">
        <v>1</v>
      </c>
      <c r="AD210" s="130" t="b">
        <v>1</v>
      </c>
      <c r="AE210" s="130" t="b">
        <v>1</v>
      </c>
      <c r="AF210" s="130" t="b">
        <v>1</v>
      </c>
      <c r="AG210" s="130" t="b">
        <v>1</v>
      </c>
    </row>
    <row r="211" spans="1:33">
      <c r="A211" s="516"/>
      <c r="B211" s="271" t="s">
        <v>178</v>
      </c>
      <c r="C211" s="233" t="s">
        <v>356</v>
      </c>
      <c r="D211" s="517">
        <f>SUM(D212:D226)</f>
        <v>41.315999999999995</v>
      </c>
      <c r="E211" s="518">
        <f t="shared" si="109"/>
        <v>11.778204586864565</v>
      </c>
      <c r="F211" s="519">
        <f>SUM(F212:F226)</f>
        <v>2.3436304431558739</v>
      </c>
      <c r="G211" s="520">
        <f t="shared" ref="G211:Q211" si="125">SUM(G212:G226)</f>
        <v>1.9407770460413012</v>
      </c>
      <c r="H211" s="521">
        <f t="shared" si="125"/>
        <v>7.4937970976673904</v>
      </c>
      <c r="I211" s="522">
        <f t="shared" si="104"/>
        <v>26.824059354176732</v>
      </c>
      <c r="J211" s="519">
        <f t="shared" si="125"/>
        <v>12.47516161362306</v>
      </c>
      <c r="K211" s="520">
        <f t="shared" si="125"/>
        <v>10.723089720217219</v>
      </c>
      <c r="L211" s="520">
        <f t="shared" si="125"/>
        <v>3.6258080203364518</v>
      </c>
      <c r="M211" s="523">
        <f t="shared" si="125"/>
        <v>0.13748445183101704</v>
      </c>
      <c r="N211" s="522">
        <f t="shared" si="101"/>
        <v>1.4209589828124187</v>
      </c>
      <c r="O211" s="524">
        <f>SUM(O212:O226)</f>
        <v>1.4209589828124187</v>
      </c>
      <c r="P211" s="521">
        <f t="shared" si="125"/>
        <v>0</v>
      </c>
      <c r="Q211" s="522">
        <f t="shared" si="125"/>
        <v>1.155292624315275</v>
      </c>
      <c r="R211" s="130"/>
      <c r="T211" s="130" t="b">
        <v>1</v>
      </c>
      <c r="U211" s="130" t="b">
        <v>1</v>
      </c>
      <c r="V211" s="130" t="b">
        <v>1</v>
      </c>
      <c r="W211" s="130" t="b">
        <v>1</v>
      </c>
      <c r="X211" s="130" t="b">
        <v>1</v>
      </c>
      <c r="Y211" s="130" t="b">
        <v>1</v>
      </c>
      <c r="Z211" s="130" t="b">
        <v>1</v>
      </c>
      <c r="AA211" s="130" t="b">
        <v>1</v>
      </c>
      <c r="AB211" s="130" t="b">
        <v>1</v>
      </c>
      <c r="AC211" s="130" t="b">
        <v>1</v>
      </c>
      <c r="AD211" s="130" t="b">
        <v>1</v>
      </c>
      <c r="AE211" s="130" t="b">
        <v>1</v>
      </c>
      <c r="AF211" s="130" t="b">
        <v>1</v>
      </c>
      <c r="AG211" s="130" t="b">
        <v>1</v>
      </c>
    </row>
    <row r="212" spans="1:33">
      <c r="B212" s="292" t="s">
        <v>511</v>
      </c>
      <c r="C212" s="293" t="s">
        <v>358</v>
      </c>
      <c r="D212" s="1297">
        <v>2.8810899999999999</v>
      </c>
      <c r="E212" s="238">
        <f t="shared" si="109"/>
        <v>0.82132993158025058</v>
      </c>
      <c r="F212" s="239">
        <f t="shared" ref="F212:H227" si="126">IFERROR($D212*F$235/100, 0)</f>
        <v>0.16342845951863583</v>
      </c>
      <c r="G212" s="240">
        <f t="shared" si="126"/>
        <v>0.13533627019990155</v>
      </c>
      <c r="H212" s="241">
        <f t="shared" si="126"/>
        <v>0.52256520186171318</v>
      </c>
      <c r="I212" s="237">
        <f t="shared" si="104"/>
        <v>1.8705230217040623</v>
      </c>
      <c r="J212" s="239">
        <f t="shared" ref="J212:Q227" si="127">IFERROR($D212*J$235/100, 0)</f>
        <v>0.86993085907138312</v>
      </c>
      <c r="K212" s="240">
        <f t="shared" si="127"/>
        <v>0.74775357154663136</v>
      </c>
      <c r="L212" s="240">
        <f t="shared" si="127"/>
        <v>0.25283859108604773</v>
      </c>
      <c r="M212" s="242">
        <f t="shared" si="127"/>
        <v>9.587207845043683E-3</v>
      </c>
      <c r="N212" s="237">
        <f t="shared" si="101"/>
        <v>9.908777993491702E-2</v>
      </c>
      <c r="O212" s="526">
        <f t="shared" ref="O212:O227" si="128">IFERROR($D212*O$235/100, 0)</f>
        <v>9.908777993491702E-2</v>
      </c>
      <c r="P212" s="241">
        <f t="shared" si="127"/>
        <v>0</v>
      </c>
      <c r="Q212" s="237">
        <f t="shared" si="127"/>
        <v>8.0562058935726974E-2</v>
      </c>
      <c r="R212" s="130"/>
      <c r="T212" s="130" t="b">
        <v>1</v>
      </c>
      <c r="U212" s="130" t="b">
        <v>1</v>
      </c>
      <c r="V212" s="130" t="b">
        <v>1</v>
      </c>
      <c r="W212" s="130" t="b">
        <v>1</v>
      </c>
      <c r="X212" s="130" t="b">
        <v>1</v>
      </c>
      <c r="Y212" s="130" t="b">
        <v>1</v>
      </c>
      <c r="Z212" s="130" t="b">
        <v>1</v>
      </c>
      <c r="AA212" s="130" t="b">
        <v>1</v>
      </c>
      <c r="AB212" s="130" t="b">
        <v>1</v>
      </c>
      <c r="AC212" s="130" t="b">
        <v>1</v>
      </c>
      <c r="AD212" s="130" t="b">
        <v>1</v>
      </c>
      <c r="AE212" s="130" t="b">
        <v>1</v>
      </c>
      <c r="AF212" s="130" t="b">
        <v>1</v>
      </c>
      <c r="AG212" s="130" t="b">
        <v>1</v>
      </c>
    </row>
    <row r="213" spans="1:33">
      <c r="B213" s="292" t="s">
        <v>512</v>
      </c>
      <c r="C213" s="293" t="s">
        <v>360</v>
      </c>
      <c r="D213" s="386">
        <v>-1.5470299999999999</v>
      </c>
      <c r="E213" s="238">
        <f t="shared" si="109"/>
        <v>-0.44102129543075536</v>
      </c>
      <c r="F213" s="239">
        <f t="shared" si="126"/>
        <v>-8.7754540722127794E-2</v>
      </c>
      <c r="G213" s="240">
        <f t="shared" si="126"/>
        <v>-7.2670159587987074E-2</v>
      </c>
      <c r="H213" s="241">
        <f t="shared" si="126"/>
        <v>-0.2805965951206405</v>
      </c>
      <c r="I213" s="237">
        <f t="shared" si="104"/>
        <v>-1.0043959856397526</v>
      </c>
      <c r="J213" s="239">
        <f t="shared" si="127"/>
        <v>-0.46711804799891765</v>
      </c>
      <c r="K213" s="240">
        <f t="shared" si="127"/>
        <v>-0.40151373535355894</v>
      </c>
      <c r="L213" s="240">
        <f t="shared" si="127"/>
        <v>-0.13576420228727615</v>
      </c>
      <c r="M213" s="242">
        <f t="shared" si="127"/>
        <v>-5.1479468369672347E-3</v>
      </c>
      <c r="N213" s="237">
        <f t="shared" si="101"/>
        <v>-5.3206171342344274E-2</v>
      </c>
      <c r="O213" s="526">
        <f t="shared" si="128"/>
        <v>-5.3206171342344274E-2</v>
      </c>
      <c r="P213" s="241">
        <f t="shared" si="127"/>
        <v>0</v>
      </c>
      <c r="Q213" s="237">
        <f t="shared" si="127"/>
        <v>-4.3258600750180551E-2</v>
      </c>
      <c r="R213" s="130"/>
      <c r="T213" s="130" t="b">
        <v>1</v>
      </c>
      <c r="U213" s="130" t="b">
        <v>1</v>
      </c>
      <c r="V213" s="130" t="b">
        <v>1</v>
      </c>
      <c r="W213" s="130" t="b">
        <v>1</v>
      </c>
      <c r="X213" s="130" t="b">
        <v>1</v>
      </c>
      <c r="Y213" s="130" t="b">
        <v>1</v>
      </c>
      <c r="Z213" s="130" t="b">
        <v>1</v>
      </c>
      <c r="AA213" s="172">
        <v>0</v>
      </c>
      <c r="AB213" s="130" t="b">
        <v>1</v>
      </c>
      <c r="AC213" s="130" t="b">
        <v>1</v>
      </c>
      <c r="AD213" s="130" t="b">
        <v>1</v>
      </c>
      <c r="AE213" s="130" t="b">
        <v>1</v>
      </c>
      <c r="AF213" s="130" t="b">
        <v>1</v>
      </c>
      <c r="AG213" s="130" t="b">
        <v>1</v>
      </c>
    </row>
    <row r="214" spans="1:33">
      <c r="B214" s="292" t="s">
        <v>513</v>
      </c>
      <c r="C214" s="293" t="s">
        <v>362</v>
      </c>
      <c r="D214" s="1297">
        <v>12.058999999999999</v>
      </c>
      <c r="E214" s="238">
        <f t="shared" si="109"/>
        <v>3.4377328181092022</v>
      </c>
      <c r="F214" s="239">
        <f t="shared" si="126"/>
        <v>0.68404103770976588</v>
      </c>
      <c r="G214" s="240">
        <f t="shared" si="126"/>
        <v>0.56645925061022484</v>
      </c>
      <c r="H214" s="241">
        <f t="shared" si="126"/>
        <v>2.1872325297892115</v>
      </c>
      <c r="I214" s="237">
        <f t="shared" si="104"/>
        <v>7.8292025305454835</v>
      </c>
      <c r="J214" s="239">
        <f t="shared" si="127"/>
        <v>3.6411553368835432</v>
      </c>
      <c r="K214" s="240">
        <f t="shared" si="127"/>
        <v>3.1297739117073151</v>
      </c>
      <c r="L214" s="240">
        <f t="shared" si="127"/>
        <v>1.0582732819546246</v>
      </c>
      <c r="M214" s="242">
        <f t="shared" si="127"/>
        <v>4.0127916657716964E-2</v>
      </c>
      <c r="N214" s="237">
        <f t="shared" si="101"/>
        <v>0.41473870591865031</v>
      </c>
      <c r="O214" s="526">
        <f t="shared" si="128"/>
        <v>0.41473870591865031</v>
      </c>
      <c r="P214" s="241">
        <f t="shared" si="127"/>
        <v>0</v>
      </c>
      <c r="Q214" s="237">
        <f t="shared" si="127"/>
        <v>0.33719802876894911</v>
      </c>
      <c r="R214" s="130"/>
      <c r="T214" s="130" t="b">
        <v>1</v>
      </c>
      <c r="U214" s="130" t="b">
        <v>1</v>
      </c>
      <c r="V214" s="130" t="b">
        <v>1</v>
      </c>
      <c r="W214" s="130" t="b">
        <v>1</v>
      </c>
      <c r="X214" s="130" t="b">
        <v>1</v>
      </c>
      <c r="Y214" s="130" t="b">
        <v>1</v>
      </c>
      <c r="Z214" s="130" t="b">
        <v>1</v>
      </c>
      <c r="AA214" s="130" t="b">
        <v>1</v>
      </c>
      <c r="AB214" s="130" t="b">
        <v>1</v>
      </c>
      <c r="AC214" s="130" t="b">
        <v>1</v>
      </c>
      <c r="AD214" s="130" t="b">
        <v>1</v>
      </c>
      <c r="AE214" s="130" t="b">
        <v>1</v>
      </c>
      <c r="AF214" s="130" t="b">
        <v>1</v>
      </c>
      <c r="AG214" s="130" t="b">
        <v>1</v>
      </c>
    </row>
    <row r="215" spans="1:33">
      <c r="B215" s="292" t="s">
        <v>514</v>
      </c>
      <c r="C215" s="293" t="s">
        <v>364</v>
      </c>
      <c r="D215" s="1297">
        <v>5.86883</v>
      </c>
      <c r="E215" s="238">
        <f t="shared" si="109"/>
        <v>1.6730632303593853</v>
      </c>
      <c r="F215" s="239">
        <f t="shared" si="126"/>
        <v>0.33290658954657976</v>
      </c>
      <c r="G215" s="240">
        <f t="shared" si="126"/>
        <v>0.27568231559489226</v>
      </c>
      <c r="H215" s="241">
        <f t="shared" si="126"/>
        <v>1.0644743252179134</v>
      </c>
      <c r="I215" s="237">
        <f t="shared" si="104"/>
        <v>3.8102876430335226</v>
      </c>
      <c r="J215" s="239">
        <f t="shared" si="127"/>
        <v>1.7720641575389542</v>
      </c>
      <c r="K215" s="240">
        <f t="shared" si="127"/>
        <v>1.523186916514242</v>
      </c>
      <c r="L215" s="240">
        <f t="shared" si="127"/>
        <v>0.51503656898032668</v>
      </c>
      <c r="M215" s="242">
        <f t="shared" si="127"/>
        <v>1.9529307663845183E-2</v>
      </c>
      <c r="N215" s="237">
        <f t="shared" si="101"/>
        <v>0.20184351600104095</v>
      </c>
      <c r="O215" s="526">
        <f t="shared" si="128"/>
        <v>0.20184351600104095</v>
      </c>
      <c r="P215" s="241">
        <f t="shared" si="127"/>
        <v>0</v>
      </c>
      <c r="Q215" s="237">
        <f t="shared" si="127"/>
        <v>0.16410630294220677</v>
      </c>
      <c r="R215" s="130"/>
      <c r="T215" s="130" t="b">
        <v>1</v>
      </c>
      <c r="U215" s="130" t="b">
        <v>1</v>
      </c>
      <c r="V215" s="130" t="b">
        <v>1</v>
      </c>
      <c r="W215" s="130" t="b">
        <v>1</v>
      </c>
      <c r="X215" s="130" t="b">
        <v>1</v>
      </c>
      <c r="Y215" s="130" t="b">
        <v>1</v>
      </c>
      <c r="Z215" s="130" t="b">
        <v>1</v>
      </c>
      <c r="AA215" s="130" t="b">
        <v>1</v>
      </c>
      <c r="AB215" s="130" t="b">
        <v>1</v>
      </c>
      <c r="AC215" s="130" t="b">
        <v>1</v>
      </c>
      <c r="AD215" s="130" t="b">
        <v>1</v>
      </c>
      <c r="AE215" s="130" t="b">
        <v>1</v>
      </c>
      <c r="AF215" s="130" t="b">
        <v>1</v>
      </c>
      <c r="AG215" s="130" t="b">
        <v>1</v>
      </c>
    </row>
    <row r="216" spans="1:33">
      <c r="B216" s="292" t="s">
        <v>515</v>
      </c>
      <c r="C216" s="293" t="s">
        <v>366</v>
      </c>
      <c r="D216" s="1297">
        <v>1.2080200000000001</v>
      </c>
      <c r="E216" s="238">
        <f t="shared" si="109"/>
        <v>0.34437764316545971</v>
      </c>
      <c r="F216" s="239">
        <f t="shared" si="126"/>
        <v>6.8524359762347747E-2</v>
      </c>
      <c r="G216" s="240">
        <f t="shared" si="126"/>
        <v>5.6745509903156473E-2</v>
      </c>
      <c r="H216" s="241">
        <f t="shared" si="126"/>
        <v>0.21910777349995553</v>
      </c>
      <c r="I216" s="237">
        <f t="shared" si="104"/>
        <v>0.7842966449083304</v>
      </c>
      <c r="J216" s="239">
        <f t="shared" si="127"/>
        <v>0.36475565719065089</v>
      </c>
      <c r="K216" s="240">
        <f t="shared" si="127"/>
        <v>0.31352761263957801</v>
      </c>
      <c r="L216" s="240">
        <f t="shared" si="127"/>
        <v>0.10601337507810149</v>
      </c>
      <c r="M216" s="242">
        <f t="shared" si="127"/>
        <v>4.019846246028299E-3</v>
      </c>
      <c r="N216" s="237">
        <f t="shared" si="101"/>
        <v>4.1546782612475991E-2</v>
      </c>
      <c r="O216" s="526">
        <f t="shared" si="128"/>
        <v>4.1546782612475991E-2</v>
      </c>
      <c r="P216" s="241">
        <f t="shared" si="127"/>
        <v>0</v>
      </c>
      <c r="Q216" s="237">
        <f t="shared" si="127"/>
        <v>3.3779083067705939E-2</v>
      </c>
      <c r="R216" s="130"/>
      <c r="T216" s="130" t="b">
        <v>1</v>
      </c>
      <c r="U216" s="130" t="b">
        <v>1</v>
      </c>
      <c r="V216" s="130" t="b">
        <v>1</v>
      </c>
      <c r="W216" s="130" t="b">
        <v>1</v>
      </c>
      <c r="X216" s="525">
        <v>0</v>
      </c>
      <c r="Y216" s="130" t="b">
        <v>1</v>
      </c>
      <c r="Z216" s="130" t="b">
        <v>1</v>
      </c>
      <c r="AA216" s="130" t="b">
        <v>1</v>
      </c>
      <c r="AB216" s="130" t="b">
        <v>1</v>
      </c>
      <c r="AC216" s="130" t="b">
        <v>1</v>
      </c>
      <c r="AD216" s="130" t="b">
        <v>1</v>
      </c>
      <c r="AE216" s="130" t="b">
        <v>1</v>
      </c>
      <c r="AF216" s="130" t="b">
        <v>1</v>
      </c>
      <c r="AG216" s="130" t="b">
        <v>1</v>
      </c>
    </row>
    <row r="217" spans="1:33">
      <c r="B217" s="292" t="s">
        <v>516</v>
      </c>
      <c r="C217" s="293" t="s">
        <v>368</v>
      </c>
      <c r="D217" s="1297">
        <v>2.5976300000000001</v>
      </c>
      <c r="E217" s="238">
        <f t="shared" si="109"/>
        <v>0.74052225726055299</v>
      </c>
      <c r="F217" s="239">
        <f t="shared" si="126"/>
        <v>0.14734932587992533</v>
      </c>
      <c r="G217" s="240">
        <f t="shared" si="126"/>
        <v>0.12202102522287409</v>
      </c>
      <c r="H217" s="241">
        <f t="shared" si="126"/>
        <v>0.47115190615775354</v>
      </c>
      <c r="I217" s="237">
        <f t="shared" si="104"/>
        <v>1.6864890429903694</v>
      </c>
      <c r="J217" s="239">
        <f t="shared" si="127"/>
        <v>0.78434151569357324</v>
      </c>
      <c r="K217" s="240">
        <f t="shared" si="127"/>
        <v>0.67418480854700003</v>
      </c>
      <c r="L217" s="240">
        <f t="shared" si="127"/>
        <v>0.22796271874979618</v>
      </c>
      <c r="M217" s="242">
        <f t="shared" si="127"/>
        <v>8.6439572226208912E-3</v>
      </c>
      <c r="N217" s="237">
        <f t="shared" si="101"/>
        <v>8.9338892499831138E-2</v>
      </c>
      <c r="O217" s="526">
        <f t="shared" si="128"/>
        <v>8.9338892499831138E-2</v>
      </c>
      <c r="P217" s="241">
        <f t="shared" si="127"/>
        <v>0</v>
      </c>
      <c r="Q217" s="237">
        <f t="shared" si="127"/>
        <v>7.2635850026626203E-2</v>
      </c>
      <c r="R217" s="130"/>
      <c r="T217" s="130" t="b">
        <v>1</v>
      </c>
      <c r="U217" s="130" t="b">
        <v>1</v>
      </c>
      <c r="V217" s="130" t="b">
        <v>1</v>
      </c>
      <c r="W217" s="130" t="b">
        <v>1</v>
      </c>
      <c r="X217" s="130" t="b">
        <v>1</v>
      </c>
      <c r="Y217" s="130" t="b">
        <v>1</v>
      </c>
      <c r="Z217" s="130" t="b">
        <v>1</v>
      </c>
      <c r="AA217" s="130" t="b">
        <v>1</v>
      </c>
      <c r="AB217" s="130" t="b">
        <v>1</v>
      </c>
      <c r="AC217" s="130" t="b">
        <v>1</v>
      </c>
      <c r="AD217" s="130" t="b">
        <v>1</v>
      </c>
      <c r="AE217" s="130" t="b">
        <v>1</v>
      </c>
      <c r="AF217" s="130" t="b">
        <v>1</v>
      </c>
      <c r="AG217" s="130" t="b">
        <v>1</v>
      </c>
    </row>
    <row r="218" spans="1:33">
      <c r="B218" s="292" t="s">
        <v>517</v>
      </c>
      <c r="C218" s="293" t="s">
        <v>370</v>
      </c>
      <c r="D218" s="1297">
        <v>9.9308399999999999</v>
      </c>
      <c r="E218" s="238">
        <f t="shared" si="109"/>
        <v>2.8310452425069732</v>
      </c>
      <c r="F218" s="239">
        <f t="shared" si="126"/>
        <v>0.56332217422088493</v>
      </c>
      <c r="G218" s="240">
        <f t="shared" si="126"/>
        <v>0.46649110078199235</v>
      </c>
      <c r="H218" s="241">
        <f t="shared" si="126"/>
        <v>1.801231967504096</v>
      </c>
      <c r="I218" s="237">
        <f t="shared" si="104"/>
        <v>6.4475128666093635</v>
      </c>
      <c r="J218" s="239">
        <f t="shared" si="127"/>
        <v>2.9985679629933304</v>
      </c>
      <c r="K218" s="240">
        <f t="shared" si="127"/>
        <v>2.5774346092826499</v>
      </c>
      <c r="L218" s="240">
        <f t="shared" si="127"/>
        <v>0.8715102943333829</v>
      </c>
      <c r="M218" s="242">
        <f t="shared" si="127"/>
        <v>3.304618292239174E-2</v>
      </c>
      <c r="N218" s="237">
        <f t="shared" si="101"/>
        <v>0.34154604281326556</v>
      </c>
      <c r="O218" s="526">
        <f t="shared" si="128"/>
        <v>0.34154604281326556</v>
      </c>
      <c r="P218" s="241">
        <f t="shared" si="127"/>
        <v>0</v>
      </c>
      <c r="Q218" s="237">
        <f t="shared" si="127"/>
        <v>0.27768966514800819</v>
      </c>
      <c r="R218" s="130"/>
      <c r="T218" s="130" t="b">
        <v>1</v>
      </c>
      <c r="U218" s="130" t="b">
        <v>1</v>
      </c>
      <c r="V218" s="130" t="b">
        <v>1</v>
      </c>
      <c r="W218" s="130" t="b">
        <v>1</v>
      </c>
      <c r="X218" s="130" t="b">
        <v>1</v>
      </c>
      <c r="Y218" s="130" t="b">
        <v>1</v>
      </c>
      <c r="Z218" s="130" t="b">
        <v>1</v>
      </c>
      <c r="AA218" s="130" t="b">
        <v>1</v>
      </c>
      <c r="AB218" s="130" t="b">
        <v>1</v>
      </c>
      <c r="AC218" s="130" t="b">
        <v>1</v>
      </c>
      <c r="AD218" s="130" t="b">
        <v>1</v>
      </c>
      <c r="AE218" s="130" t="b">
        <v>1</v>
      </c>
      <c r="AF218" s="130" t="b">
        <v>1</v>
      </c>
      <c r="AG218" s="130" t="b">
        <v>1</v>
      </c>
    </row>
    <row r="219" spans="1:33">
      <c r="B219" s="292" t="s">
        <v>518</v>
      </c>
      <c r="C219" s="293" t="s">
        <v>372</v>
      </c>
      <c r="D219" s="386">
        <v>0</v>
      </c>
      <c r="E219" s="238">
        <f t="shared" si="109"/>
        <v>0</v>
      </c>
      <c r="F219" s="239">
        <f t="shared" si="126"/>
        <v>0</v>
      </c>
      <c r="G219" s="240">
        <f t="shared" si="126"/>
        <v>0</v>
      </c>
      <c r="H219" s="241">
        <f t="shared" si="126"/>
        <v>0</v>
      </c>
      <c r="I219" s="237">
        <f t="shared" si="104"/>
        <v>0</v>
      </c>
      <c r="J219" s="239">
        <f t="shared" si="127"/>
        <v>0</v>
      </c>
      <c r="K219" s="240">
        <f t="shared" si="127"/>
        <v>0</v>
      </c>
      <c r="L219" s="240">
        <f t="shared" si="127"/>
        <v>0</v>
      </c>
      <c r="M219" s="242">
        <f t="shared" si="127"/>
        <v>0</v>
      </c>
      <c r="N219" s="237">
        <f t="shared" si="101"/>
        <v>0</v>
      </c>
      <c r="O219" s="526">
        <f t="shared" si="128"/>
        <v>0</v>
      </c>
      <c r="P219" s="241">
        <f t="shared" si="127"/>
        <v>0</v>
      </c>
      <c r="Q219" s="237">
        <f t="shared" si="127"/>
        <v>0</v>
      </c>
      <c r="R219" s="130"/>
      <c r="T219" s="130" t="b">
        <v>1</v>
      </c>
      <c r="U219" s="130" t="b">
        <v>1</v>
      </c>
      <c r="V219" s="130" t="b">
        <v>1</v>
      </c>
      <c r="W219" s="130" t="b">
        <v>1</v>
      </c>
      <c r="X219" s="130" t="b">
        <v>1</v>
      </c>
      <c r="Y219" s="130" t="b">
        <v>1</v>
      </c>
      <c r="Z219" s="130" t="b">
        <v>1</v>
      </c>
      <c r="AA219" s="130" t="b">
        <v>1</v>
      </c>
      <c r="AB219" s="130" t="b">
        <v>1</v>
      </c>
      <c r="AC219" s="130" t="b">
        <v>1</v>
      </c>
      <c r="AD219" s="130" t="b">
        <v>1</v>
      </c>
      <c r="AE219" s="130" t="b">
        <v>1</v>
      </c>
      <c r="AF219" s="130" t="b">
        <v>1</v>
      </c>
      <c r="AG219" s="130" t="b">
        <v>1</v>
      </c>
    </row>
    <row r="220" spans="1:33">
      <c r="B220" s="292" t="s">
        <v>519</v>
      </c>
      <c r="C220" s="293" t="s">
        <v>374</v>
      </c>
      <c r="D220" s="386">
        <v>0</v>
      </c>
      <c r="E220" s="238">
        <f t="shared" si="109"/>
        <v>0</v>
      </c>
      <c r="F220" s="239">
        <f t="shared" si="126"/>
        <v>0</v>
      </c>
      <c r="G220" s="240">
        <f t="shared" si="126"/>
        <v>0</v>
      </c>
      <c r="H220" s="241">
        <f t="shared" si="126"/>
        <v>0</v>
      </c>
      <c r="I220" s="237">
        <f t="shared" si="104"/>
        <v>0</v>
      </c>
      <c r="J220" s="239">
        <f t="shared" si="127"/>
        <v>0</v>
      </c>
      <c r="K220" s="240">
        <f t="shared" si="127"/>
        <v>0</v>
      </c>
      <c r="L220" s="240">
        <f t="shared" si="127"/>
        <v>0</v>
      </c>
      <c r="M220" s="242">
        <f t="shared" si="127"/>
        <v>0</v>
      </c>
      <c r="N220" s="237">
        <f t="shared" si="101"/>
        <v>0</v>
      </c>
      <c r="O220" s="526">
        <f t="shared" si="128"/>
        <v>0</v>
      </c>
      <c r="P220" s="241">
        <f t="shared" si="127"/>
        <v>0</v>
      </c>
      <c r="Q220" s="237">
        <f t="shared" si="127"/>
        <v>0</v>
      </c>
      <c r="R220" s="130"/>
      <c r="T220" s="130" t="b">
        <v>1</v>
      </c>
      <c r="U220" s="130" t="b">
        <v>1</v>
      </c>
      <c r="V220" s="130" t="b">
        <v>1</v>
      </c>
      <c r="W220" s="130" t="b">
        <v>1</v>
      </c>
      <c r="X220" s="130" t="b">
        <v>1</v>
      </c>
      <c r="Y220" s="130" t="b">
        <v>1</v>
      </c>
      <c r="Z220" s="130" t="b">
        <v>1</v>
      </c>
      <c r="AA220" s="130" t="b">
        <v>1</v>
      </c>
      <c r="AB220" s="130" t="b">
        <v>1</v>
      </c>
      <c r="AC220" s="130" t="b">
        <v>1</v>
      </c>
      <c r="AD220" s="130" t="b">
        <v>1</v>
      </c>
      <c r="AE220" s="130" t="b">
        <v>1</v>
      </c>
      <c r="AF220" s="130" t="b">
        <v>1</v>
      </c>
      <c r="AG220" s="130" t="b">
        <v>1</v>
      </c>
    </row>
    <row r="221" spans="1:33">
      <c r="B221" s="292" t="s">
        <v>520</v>
      </c>
      <c r="C221" s="293" t="s">
        <v>376</v>
      </c>
      <c r="D221" s="1297">
        <v>2.2999999999999998</v>
      </c>
      <c r="E221" s="238">
        <f t="shared" si="109"/>
        <v>0.65567505445320218</v>
      </c>
      <c r="F221" s="239">
        <f t="shared" si="126"/>
        <v>0.13046640573285193</v>
      </c>
      <c r="G221" s="240">
        <f t="shared" si="126"/>
        <v>0.10804015891894164</v>
      </c>
      <c r="H221" s="241">
        <f t="shared" si="126"/>
        <v>0.41716848980140858</v>
      </c>
      <c r="I221" s="237">
        <f t="shared" si="104"/>
        <v>1.4932553130653132</v>
      </c>
      <c r="J221" s="239">
        <f t="shared" si="127"/>
        <v>0.69447361098201754</v>
      </c>
      <c r="K221" s="240">
        <f t="shared" si="127"/>
        <v>0.59693838601267313</v>
      </c>
      <c r="L221" s="240">
        <f t="shared" si="127"/>
        <v>0.20184331607062247</v>
      </c>
      <c r="M221" s="242">
        <f t="shared" si="127"/>
        <v>7.6535540519735478E-3</v>
      </c>
      <c r="N221" s="237">
        <f t="shared" si="101"/>
        <v>7.910266387037862E-2</v>
      </c>
      <c r="O221" s="526">
        <f t="shared" si="128"/>
        <v>7.910266387037862E-2</v>
      </c>
      <c r="P221" s="241">
        <f t="shared" si="127"/>
        <v>0</v>
      </c>
      <c r="Q221" s="237">
        <f t="shared" si="127"/>
        <v>6.4313414559132837E-2</v>
      </c>
      <c r="R221" s="130"/>
      <c r="T221" s="130" t="b">
        <v>1</v>
      </c>
      <c r="U221" s="130" t="b">
        <v>1</v>
      </c>
      <c r="V221" s="130" t="b">
        <v>1</v>
      </c>
      <c r="W221" s="130" t="b">
        <v>1</v>
      </c>
      <c r="X221" s="130" t="b">
        <v>1</v>
      </c>
      <c r="Y221" s="130" t="b">
        <v>1</v>
      </c>
      <c r="Z221" s="130" t="b">
        <v>1</v>
      </c>
      <c r="AA221" s="130" t="b">
        <v>1</v>
      </c>
      <c r="AB221" s="130" t="b">
        <v>1</v>
      </c>
      <c r="AC221" s="130" t="b">
        <v>1</v>
      </c>
      <c r="AD221" s="130" t="b">
        <v>1</v>
      </c>
      <c r="AE221" s="130" t="b">
        <v>1</v>
      </c>
      <c r="AF221" s="130" t="b">
        <v>1</v>
      </c>
      <c r="AG221" s="130" t="b">
        <v>1</v>
      </c>
    </row>
    <row r="222" spans="1:33">
      <c r="B222" s="292" t="s">
        <v>521</v>
      </c>
      <c r="C222" s="293" t="s">
        <v>378</v>
      </c>
      <c r="D222" s="1297">
        <v>0</v>
      </c>
      <c r="E222" s="238">
        <f t="shared" si="109"/>
        <v>0</v>
      </c>
      <c r="F222" s="239">
        <f t="shared" si="126"/>
        <v>0</v>
      </c>
      <c r="G222" s="240">
        <f t="shared" si="126"/>
        <v>0</v>
      </c>
      <c r="H222" s="241">
        <f t="shared" si="126"/>
        <v>0</v>
      </c>
      <c r="I222" s="237">
        <f t="shared" si="104"/>
        <v>0</v>
      </c>
      <c r="J222" s="239">
        <f t="shared" si="127"/>
        <v>0</v>
      </c>
      <c r="K222" s="240">
        <f t="shared" si="127"/>
        <v>0</v>
      </c>
      <c r="L222" s="240">
        <f t="shared" si="127"/>
        <v>0</v>
      </c>
      <c r="M222" s="242">
        <f t="shared" si="127"/>
        <v>0</v>
      </c>
      <c r="N222" s="237">
        <f t="shared" si="101"/>
        <v>0</v>
      </c>
      <c r="O222" s="526">
        <f t="shared" si="128"/>
        <v>0</v>
      </c>
      <c r="P222" s="241">
        <f t="shared" si="127"/>
        <v>0</v>
      </c>
      <c r="Q222" s="237">
        <f t="shared" si="127"/>
        <v>0</v>
      </c>
      <c r="R222" s="130"/>
      <c r="T222" s="130" t="b">
        <v>1</v>
      </c>
      <c r="U222" s="130" t="b">
        <v>1</v>
      </c>
      <c r="V222" s="130" t="b">
        <v>1</v>
      </c>
      <c r="W222" s="130" t="b">
        <v>1</v>
      </c>
      <c r="X222" s="130" t="b">
        <v>1</v>
      </c>
      <c r="Y222" s="130" t="b">
        <v>1</v>
      </c>
      <c r="Z222" s="130" t="b">
        <v>1</v>
      </c>
      <c r="AA222" s="130" t="b">
        <v>1</v>
      </c>
      <c r="AB222" s="130" t="b">
        <v>1</v>
      </c>
      <c r="AC222" s="130" t="b">
        <v>1</v>
      </c>
      <c r="AD222" s="130" t="b">
        <v>1</v>
      </c>
      <c r="AE222" s="130" t="b">
        <v>1</v>
      </c>
      <c r="AF222" s="130" t="b">
        <v>1</v>
      </c>
      <c r="AG222" s="130" t="b">
        <v>1</v>
      </c>
    </row>
    <row r="223" spans="1:33">
      <c r="B223" s="292" t="s">
        <v>522</v>
      </c>
      <c r="C223" s="293" t="s">
        <v>380</v>
      </c>
      <c r="D223" s="1297">
        <v>3.68988</v>
      </c>
      <c r="E223" s="238">
        <f t="shared" si="109"/>
        <v>1.0518966390981661</v>
      </c>
      <c r="F223" s="239">
        <f t="shared" si="126"/>
        <v>0.20930668747197206</v>
      </c>
      <c r="G223" s="240">
        <f t="shared" si="126"/>
        <v>0.17332835721383671</v>
      </c>
      <c r="H223" s="241">
        <f t="shared" si="126"/>
        <v>0.66926159441235722</v>
      </c>
      <c r="I223" s="237">
        <f t="shared" si="104"/>
        <v>2.3956230063362773</v>
      </c>
      <c r="J223" s="239">
        <f t="shared" si="127"/>
        <v>1.1141409946479683</v>
      </c>
      <c r="K223" s="240">
        <f t="shared" si="127"/>
        <v>0.95766565729584441</v>
      </c>
      <c r="L223" s="240">
        <f t="shared" si="127"/>
        <v>0.32381635439246459</v>
      </c>
      <c r="M223" s="242">
        <f t="shared" si="127"/>
        <v>1.2278563489259198E-2</v>
      </c>
      <c r="N223" s="237">
        <f t="shared" si="101"/>
        <v>0.12690405972262289</v>
      </c>
      <c r="O223" s="526">
        <f t="shared" si="128"/>
        <v>0.12690405972262289</v>
      </c>
      <c r="P223" s="241">
        <f t="shared" si="127"/>
        <v>0</v>
      </c>
      <c r="Q223" s="237">
        <f t="shared" si="127"/>
        <v>0.10317773135367526</v>
      </c>
      <c r="R223" s="130"/>
      <c r="T223" s="130" t="b">
        <v>1</v>
      </c>
      <c r="U223" s="130" t="b">
        <v>1</v>
      </c>
      <c r="V223" s="130" t="b">
        <v>1</v>
      </c>
      <c r="W223" s="130" t="b">
        <v>1</v>
      </c>
      <c r="X223" s="130" t="b">
        <v>1</v>
      </c>
      <c r="Y223" s="130" t="b">
        <v>1</v>
      </c>
      <c r="Z223" s="130" t="b">
        <v>1</v>
      </c>
      <c r="AA223" s="130" t="b">
        <v>1</v>
      </c>
      <c r="AB223" s="130" t="b">
        <v>1</v>
      </c>
      <c r="AC223" s="130" t="b">
        <v>1</v>
      </c>
      <c r="AD223" s="130" t="b">
        <v>1</v>
      </c>
      <c r="AE223" s="130" t="b">
        <v>1</v>
      </c>
      <c r="AF223" s="130" t="b">
        <v>1</v>
      </c>
      <c r="AG223" s="130" t="b">
        <v>1</v>
      </c>
    </row>
    <row r="224" spans="1:33">
      <c r="B224" s="292" t="s">
        <v>523</v>
      </c>
      <c r="C224" s="293" t="s">
        <v>382</v>
      </c>
      <c r="D224" s="1297">
        <v>2.3277399999999999</v>
      </c>
      <c r="E224" s="238">
        <f t="shared" si="109"/>
        <v>0.66358306576212911</v>
      </c>
      <c r="F224" s="239">
        <f t="shared" si="126"/>
        <v>0.1320399440350386</v>
      </c>
      <c r="G224" s="240">
        <f t="shared" si="126"/>
        <v>0.10934321718346834</v>
      </c>
      <c r="H224" s="241">
        <f t="shared" si="126"/>
        <v>0.42219990454362211</v>
      </c>
      <c r="I224" s="237">
        <f t="shared" si="104"/>
        <v>1.5112652706237619</v>
      </c>
      <c r="J224" s="239">
        <f t="shared" si="127"/>
        <v>0.7028495666205572</v>
      </c>
      <c r="K224" s="240">
        <f t="shared" si="127"/>
        <v>0.60413798202484337</v>
      </c>
      <c r="L224" s="240">
        <f t="shared" si="127"/>
        <v>0.20427772197836125</v>
      </c>
      <c r="M224" s="242">
        <f t="shared" si="127"/>
        <v>7.7458625691047426E-3</v>
      </c>
      <c r="N224" s="237">
        <f t="shared" si="101"/>
        <v>8.0056710781580484E-2</v>
      </c>
      <c r="O224" s="526">
        <f t="shared" si="128"/>
        <v>8.0056710781580484E-2</v>
      </c>
      <c r="P224" s="241">
        <f t="shared" si="127"/>
        <v>0</v>
      </c>
      <c r="Q224" s="237">
        <f t="shared" si="127"/>
        <v>6.5089090263424298E-2</v>
      </c>
      <c r="R224" s="130"/>
      <c r="T224" s="130" t="b">
        <v>1</v>
      </c>
      <c r="U224" s="130" t="b">
        <v>1</v>
      </c>
      <c r="V224" s="130" t="b">
        <v>1</v>
      </c>
      <c r="W224" s="130" t="b">
        <v>1</v>
      </c>
      <c r="X224" s="130" t="b">
        <v>1</v>
      </c>
      <c r="Y224" s="130" t="b">
        <v>1</v>
      </c>
      <c r="Z224" s="130" t="b">
        <v>1</v>
      </c>
      <c r="AA224" s="130" t="b">
        <v>1</v>
      </c>
      <c r="AB224" s="172">
        <v>0</v>
      </c>
      <c r="AC224" s="130" t="b">
        <v>1</v>
      </c>
      <c r="AD224" s="130" t="b">
        <v>1</v>
      </c>
      <c r="AE224" s="130" t="b">
        <v>1</v>
      </c>
      <c r="AF224" s="130" t="b">
        <v>1</v>
      </c>
      <c r="AG224" s="130" t="b">
        <v>1</v>
      </c>
    </row>
    <row r="225" spans="1:33">
      <c r="B225" s="324" t="s">
        <v>524</v>
      </c>
      <c r="C225" s="284" t="s">
        <v>525</v>
      </c>
      <c r="D225" s="546">
        <v>0</v>
      </c>
      <c r="E225" s="238">
        <f t="shared" si="109"/>
        <v>0</v>
      </c>
      <c r="F225" s="239">
        <f t="shared" si="126"/>
        <v>0</v>
      </c>
      <c r="G225" s="240">
        <f t="shared" si="126"/>
        <v>0</v>
      </c>
      <c r="H225" s="241">
        <f t="shared" si="126"/>
        <v>0</v>
      </c>
      <c r="I225" s="237">
        <f t="shared" si="104"/>
        <v>0</v>
      </c>
      <c r="J225" s="239">
        <f t="shared" si="127"/>
        <v>0</v>
      </c>
      <c r="K225" s="240">
        <f t="shared" si="127"/>
        <v>0</v>
      </c>
      <c r="L225" s="240">
        <f t="shared" si="127"/>
        <v>0</v>
      </c>
      <c r="M225" s="242">
        <f t="shared" si="127"/>
        <v>0</v>
      </c>
      <c r="N225" s="237">
        <f t="shared" si="101"/>
        <v>0</v>
      </c>
      <c r="O225" s="526">
        <f t="shared" si="128"/>
        <v>0</v>
      </c>
      <c r="P225" s="241">
        <f t="shared" si="127"/>
        <v>0</v>
      </c>
      <c r="Q225" s="237">
        <f t="shared" si="127"/>
        <v>0</v>
      </c>
      <c r="R225" s="130"/>
      <c r="T225" s="130" t="b">
        <v>1</v>
      </c>
      <c r="U225" s="130" t="b">
        <v>1</v>
      </c>
      <c r="V225" s="130" t="b">
        <v>1</v>
      </c>
      <c r="W225" s="130" t="b">
        <v>1</v>
      </c>
      <c r="X225" s="130" t="b">
        <v>1</v>
      </c>
      <c r="Y225" s="130" t="b">
        <v>1</v>
      </c>
      <c r="Z225" s="130" t="b">
        <v>1</v>
      </c>
      <c r="AA225" s="130" t="b">
        <v>1</v>
      </c>
      <c r="AB225" s="130" t="b">
        <v>1</v>
      </c>
      <c r="AC225" s="130" t="b">
        <v>1</v>
      </c>
      <c r="AD225" s="130" t="b">
        <v>1</v>
      </c>
      <c r="AE225" s="130" t="b">
        <v>1</v>
      </c>
      <c r="AF225" s="130" t="b">
        <v>1</v>
      </c>
      <c r="AG225" s="130" t="b">
        <v>1</v>
      </c>
    </row>
    <row r="226" spans="1:33" ht="15" thickBot="1">
      <c r="B226" s="333" t="s">
        <v>526</v>
      </c>
      <c r="C226" s="334" t="s">
        <v>384</v>
      </c>
      <c r="D226" s="386">
        <v>0</v>
      </c>
      <c r="E226" s="238">
        <f t="shared" si="109"/>
        <v>0</v>
      </c>
      <c r="F226" s="239">
        <f t="shared" si="126"/>
        <v>0</v>
      </c>
      <c r="G226" s="240">
        <f t="shared" si="126"/>
        <v>0</v>
      </c>
      <c r="H226" s="241">
        <f t="shared" si="126"/>
        <v>0</v>
      </c>
      <c r="I226" s="237">
        <f t="shared" si="104"/>
        <v>0</v>
      </c>
      <c r="J226" s="239">
        <f t="shared" si="127"/>
        <v>0</v>
      </c>
      <c r="K226" s="240">
        <f t="shared" si="127"/>
        <v>0</v>
      </c>
      <c r="L226" s="240">
        <f t="shared" si="127"/>
        <v>0</v>
      </c>
      <c r="M226" s="242">
        <f t="shared" si="127"/>
        <v>0</v>
      </c>
      <c r="N226" s="237">
        <f t="shared" si="101"/>
        <v>0</v>
      </c>
      <c r="O226" s="526">
        <f t="shared" si="128"/>
        <v>0</v>
      </c>
      <c r="P226" s="241">
        <f t="shared" si="127"/>
        <v>0</v>
      </c>
      <c r="Q226" s="237">
        <f t="shared" si="127"/>
        <v>0</v>
      </c>
      <c r="R226" s="130"/>
      <c r="T226" s="130" t="b">
        <v>1</v>
      </c>
      <c r="U226" s="130" t="b">
        <v>1</v>
      </c>
      <c r="V226" s="130" t="b">
        <v>1</v>
      </c>
      <c r="W226" s="130" t="b">
        <v>1</v>
      </c>
      <c r="X226" s="130" t="b">
        <v>1</v>
      </c>
      <c r="Y226" s="130" t="b">
        <v>1</v>
      </c>
      <c r="Z226" s="130" t="b">
        <v>1</v>
      </c>
      <c r="AA226" s="130" t="b">
        <v>1</v>
      </c>
      <c r="AB226" s="130" t="b">
        <v>1</v>
      </c>
      <c r="AC226" s="130" t="b">
        <v>1</v>
      </c>
      <c r="AD226" s="130" t="b">
        <v>1</v>
      </c>
      <c r="AE226" s="130" t="b">
        <v>1</v>
      </c>
      <c r="AF226" s="130" t="b">
        <v>1</v>
      </c>
      <c r="AG226" s="130" t="b">
        <v>1</v>
      </c>
    </row>
    <row r="227" spans="1:33" ht="15" thickBot="1">
      <c r="A227" s="516"/>
      <c r="B227" s="271" t="s">
        <v>180</v>
      </c>
      <c r="C227" s="233" t="s">
        <v>386</v>
      </c>
      <c r="D227" s="547">
        <v>0</v>
      </c>
      <c r="E227" s="518">
        <f t="shared" si="109"/>
        <v>0</v>
      </c>
      <c r="F227" s="519">
        <f t="shared" si="126"/>
        <v>0</v>
      </c>
      <c r="G227" s="520">
        <f t="shared" si="126"/>
        <v>0</v>
      </c>
      <c r="H227" s="521">
        <f t="shared" si="126"/>
        <v>0</v>
      </c>
      <c r="I227" s="522">
        <f t="shared" si="104"/>
        <v>0</v>
      </c>
      <c r="J227" s="519">
        <f t="shared" si="127"/>
        <v>0</v>
      </c>
      <c r="K227" s="520">
        <f t="shared" si="127"/>
        <v>0</v>
      </c>
      <c r="L227" s="520">
        <f t="shared" si="127"/>
        <v>0</v>
      </c>
      <c r="M227" s="523">
        <f t="shared" si="127"/>
        <v>0</v>
      </c>
      <c r="N227" s="522">
        <f t="shared" si="101"/>
        <v>0</v>
      </c>
      <c r="O227" s="524">
        <f t="shared" si="128"/>
        <v>0</v>
      </c>
      <c r="P227" s="548">
        <f t="shared" si="127"/>
        <v>0</v>
      </c>
      <c r="Q227" s="522">
        <f t="shared" si="127"/>
        <v>0</v>
      </c>
      <c r="R227" s="130"/>
      <c r="T227" s="130" t="b">
        <v>1</v>
      </c>
      <c r="U227" s="130" t="b">
        <v>1</v>
      </c>
      <c r="V227" s="130" t="b">
        <v>1</v>
      </c>
      <c r="W227" s="130" t="b">
        <v>1</v>
      </c>
      <c r="X227" s="130" t="b">
        <v>1</v>
      </c>
      <c r="Y227" s="130" t="b">
        <v>1</v>
      </c>
      <c r="Z227" s="130" t="b">
        <v>1</v>
      </c>
      <c r="AA227" s="130" t="b">
        <v>1</v>
      </c>
      <c r="AB227" s="130" t="b">
        <v>1</v>
      </c>
      <c r="AC227" s="130" t="b">
        <v>1</v>
      </c>
      <c r="AD227" s="130" t="b">
        <v>1</v>
      </c>
      <c r="AE227" s="130" t="b">
        <v>1</v>
      </c>
      <c r="AF227" s="130" t="b">
        <v>1</v>
      </c>
      <c r="AG227" s="130" t="b">
        <v>1</v>
      </c>
    </row>
    <row r="228" spans="1:33">
      <c r="A228" s="516"/>
      <c r="B228" s="271" t="s">
        <v>182</v>
      </c>
      <c r="C228" s="233" t="s">
        <v>388</v>
      </c>
      <c r="D228" s="517">
        <f>SUM(D229:D233)</f>
        <v>8.5102700000000002</v>
      </c>
      <c r="E228" s="518">
        <f t="shared" si="109"/>
        <v>2.4260746720267186</v>
      </c>
      <c r="F228" s="519">
        <f>SUM(F229:F233)</f>
        <v>0.48274101683309478</v>
      </c>
      <c r="G228" s="520">
        <f t="shared" ref="G228:Q228" si="129">SUM(G229:G233)</f>
        <v>0.39976127097526154</v>
      </c>
      <c r="H228" s="521">
        <f t="shared" si="129"/>
        <v>1.5435723842183624</v>
      </c>
      <c r="I228" s="522">
        <f t="shared" si="104"/>
        <v>5.5252199535305841</v>
      </c>
      <c r="J228" s="519">
        <f t="shared" si="129"/>
        <v>2.5696338857964935</v>
      </c>
      <c r="K228" s="520">
        <f t="shared" si="129"/>
        <v>2.2087421036226398</v>
      </c>
      <c r="L228" s="520">
        <f t="shared" si="129"/>
        <v>0.74684396411145071</v>
      </c>
      <c r="M228" s="523">
        <f t="shared" si="129"/>
        <v>2.8319048452995189E-2</v>
      </c>
      <c r="N228" s="522">
        <f t="shared" si="101"/>
        <v>0.29268914228529003</v>
      </c>
      <c r="O228" s="524">
        <f>SUM(O229:O233)</f>
        <v>0.29268914228529003</v>
      </c>
      <c r="P228" s="521">
        <f t="shared" si="129"/>
        <v>0</v>
      </c>
      <c r="Q228" s="522">
        <f t="shared" si="129"/>
        <v>0.23796718370441367</v>
      </c>
      <c r="R228" s="130"/>
      <c r="T228" s="130" t="b">
        <v>1</v>
      </c>
      <c r="U228" s="130" t="b">
        <v>1</v>
      </c>
      <c r="V228" s="130" t="b">
        <v>1</v>
      </c>
      <c r="W228" s="130" t="b">
        <v>1</v>
      </c>
      <c r="X228" s="525">
        <v>0</v>
      </c>
      <c r="Y228" s="130" t="b">
        <v>1</v>
      </c>
      <c r="Z228" s="130" t="b">
        <v>1</v>
      </c>
      <c r="AA228" s="130" t="b">
        <v>1</v>
      </c>
      <c r="AB228" s="130" t="b">
        <v>1</v>
      </c>
      <c r="AC228" s="130" t="b">
        <v>1</v>
      </c>
      <c r="AD228" s="130" t="b">
        <v>1</v>
      </c>
      <c r="AE228" s="130" t="b">
        <v>1</v>
      </c>
      <c r="AF228" s="130" t="b">
        <v>1</v>
      </c>
      <c r="AG228" s="130" t="b">
        <v>1</v>
      </c>
    </row>
    <row r="229" spans="1:33">
      <c r="B229" s="549" t="s">
        <v>527</v>
      </c>
      <c r="C229" s="415" t="s">
        <v>390</v>
      </c>
      <c r="D229" s="550">
        <v>0</v>
      </c>
      <c r="E229" s="551">
        <f t="shared" si="109"/>
        <v>0</v>
      </c>
      <c r="F229" s="552">
        <f t="shared" ref="F229:H233" si="130">IFERROR($D229*F$235/100, 0)</f>
        <v>0</v>
      </c>
      <c r="G229" s="553">
        <f t="shared" si="130"/>
        <v>0</v>
      </c>
      <c r="H229" s="554">
        <f t="shared" si="130"/>
        <v>0</v>
      </c>
      <c r="I229" s="235">
        <f t="shared" si="104"/>
        <v>0</v>
      </c>
      <c r="J229" s="552">
        <f t="shared" ref="J229:Q233" si="131">IFERROR($D229*J$235/100, 0)</f>
        <v>0</v>
      </c>
      <c r="K229" s="553">
        <f t="shared" si="131"/>
        <v>0</v>
      </c>
      <c r="L229" s="553">
        <f t="shared" si="131"/>
        <v>0</v>
      </c>
      <c r="M229" s="555">
        <f t="shared" si="131"/>
        <v>0</v>
      </c>
      <c r="N229" s="235">
        <f t="shared" si="101"/>
        <v>0</v>
      </c>
      <c r="O229" s="556">
        <f>IFERROR($D229*O$235/100, 0)</f>
        <v>0</v>
      </c>
      <c r="P229" s="554">
        <f t="shared" si="131"/>
        <v>0</v>
      </c>
      <c r="Q229" s="235">
        <f t="shared" si="131"/>
        <v>0</v>
      </c>
      <c r="R229" s="130"/>
      <c r="T229" s="130" t="b">
        <v>1</v>
      </c>
      <c r="U229" s="130" t="b">
        <v>1</v>
      </c>
      <c r="V229" s="130" t="b">
        <v>1</v>
      </c>
      <c r="W229" s="130" t="b">
        <v>1</v>
      </c>
      <c r="X229" s="130" t="b">
        <v>1</v>
      </c>
      <c r="Y229" s="130" t="b">
        <v>1</v>
      </c>
      <c r="Z229" s="130" t="b">
        <v>1</v>
      </c>
      <c r="AA229" s="130" t="b">
        <v>1</v>
      </c>
      <c r="AB229" s="130" t="b">
        <v>1</v>
      </c>
      <c r="AC229" s="130" t="b">
        <v>1</v>
      </c>
      <c r="AD229" s="130" t="b">
        <v>1</v>
      </c>
      <c r="AE229" s="130" t="b">
        <v>1</v>
      </c>
      <c r="AF229" s="130" t="b">
        <v>1</v>
      </c>
      <c r="AG229" s="130" t="b">
        <v>1</v>
      </c>
    </row>
    <row r="230" spans="1:33">
      <c r="B230" s="557" t="s">
        <v>528</v>
      </c>
      <c r="C230" s="422" t="s">
        <v>392</v>
      </c>
      <c r="D230" s="1296">
        <v>0.71955999999999998</v>
      </c>
      <c r="E230" s="551">
        <f t="shared" si="109"/>
        <v>0.20512936616623745</v>
      </c>
      <c r="F230" s="552">
        <f t="shared" si="130"/>
        <v>4.0816698656143888E-2</v>
      </c>
      <c r="G230" s="553">
        <f t="shared" si="130"/>
        <v>3.3800598587701583E-2</v>
      </c>
      <c r="H230" s="554">
        <f t="shared" si="130"/>
        <v>0.13051206892239198</v>
      </c>
      <c r="I230" s="235">
        <f t="shared" si="104"/>
        <v>0.46716817089968554</v>
      </c>
      <c r="J230" s="552">
        <f t="shared" si="131"/>
        <v>0.21726757892096546</v>
      </c>
      <c r="K230" s="553">
        <f t="shared" si="131"/>
        <v>0.18675347175620829</v>
      </c>
      <c r="L230" s="553">
        <f t="shared" si="131"/>
        <v>6.3147120222511802E-2</v>
      </c>
      <c r="M230" s="555">
        <f t="shared" si="131"/>
        <v>2.3944310233209071E-3</v>
      </c>
      <c r="N230" s="235">
        <f t="shared" si="101"/>
        <v>2.4747440354160714E-2</v>
      </c>
      <c r="O230" s="556">
        <f>IFERROR($D230*O$235/100, 0)</f>
        <v>2.4747440354160714E-2</v>
      </c>
      <c r="P230" s="554">
        <f t="shared" si="131"/>
        <v>0</v>
      </c>
      <c r="Q230" s="235">
        <f t="shared" si="131"/>
        <v>2.0120591556595492E-2</v>
      </c>
      <c r="R230" s="130"/>
      <c r="T230" s="130" t="b">
        <v>1</v>
      </c>
      <c r="U230" s="130" t="b">
        <v>1</v>
      </c>
      <c r="V230" s="130" t="b">
        <v>1</v>
      </c>
      <c r="W230" s="130" t="b">
        <v>1</v>
      </c>
      <c r="X230" s="130" t="b">
        <v>1</v>
      </c>
      <c r="Y230" s="130" t="b">
        <v>1</v>
      </c>
      <c r="Z230" s="130" t="b">
        <v>1</v>
      </c>
      <c r="AA230" s="130" t="b">
        <v>1</v>
      </c>
      <c r="AB230" s="130" t="b">
        <v>1</v>
      </c>
      <c r="AC230" s="130" t="b">
        <v>1</v>
      </c>
      <c r="AD230" s="130" t="b">
        <v>1</v>
      </c>
      <c r="AE230" s="130" t="b">
        <v>1</v>
      </c>
      <c r="AF230" s="130" t="b">
        <v>1</v>
      </c>
      <c r="AG230" s="130" t="b">
        <v>1</v>
      </c>
    </row>
    <row r="231" spans="1:33">
      <c r="B231" s="292" t="s">
        <v>529</v>
      </c>
      <c r="C231" s="293" t="s">
        <v>394</v>
      </c>
      <c r="D231" s="550">
        <v>0</v>
      </c>
      <c r="E231" s="551">
        <f t="shared" si="109"/>
        <v>0</v>
      </c>
      <c r="F231" s="552">
        <f t="shared" si="130"/>
        <v>0</v>
      </c>
      <c r="G231" s="553">
        <f t="shared" si="130"/>
        <v>0</v>
      </c>
      <c r="H231" s="554">
        <f t="shared" si="130"/>
        <v>0</v>
      </c>
      <c r="I231" s="235">
        <f t="shared" si="104"/>
        <v>0</v>
      </c>
      <c r="J231" s="552">
        <f t="shared" si="131"/>
        <v>0</v>
      </c>
      <c r="K231" s="553">
        <f t="shared" si="131"/>
        <v>0</v>
      </c>
      <c r="L231" s="553">
        <f t="shared" si="131"/>
        <v>0</v>
      </c>
      <c r="M231" s="555">
        <f t="shared" si="131"/>
        <v>0</v>
      </c>
      <c r="N231" s="235">
        <f t="shared" si="101"/>
        <v>0</v>
      </c>
      <c r="O231" s="556">
        <f>IFERROR($D231*O$235/100, 0)</f>
        <v>0</v>
      </c>
      <c r="P231" s="554">
        <f t="shared" si="131"/>
        <v>0</v>
      </c>
      <c r="Q231" s="235">
        <f t="shared" si="131"/>
        <v>0</v>
      </c>
      <c r="R231" s="130"/>
      <c r="T231" s="130" t="b">
        <v>1</v>
      </c>
      <c r="U231" s="130" t="b">
        <v>1</v>
      </c>
      <c r="V231" s="130" t="b">
        <v>1</v>
      </c>
      <c r="W231" s="130" t="b">
        <v>1</v>
      </c>
      <c r="X231" s="130" t="b">
        <v>1</v>
      </c>
      <c r="Y231" s="130" t="b">
        <v>1</v>
      </c>
      <c r="Z231" s="130" t="b">
        <v>1</v>
      </c>
      <c r="AA231" s="130" t="b">
        <v>1</v>
      </c>
      <c r="AB231" s="130" t="b">
        <v>1</v>
      </c>
      <c r="AC231" s="130" t="b">
        <v>1</v>
      </c>
      <c r="AD231" s="130" t="b">
        <v>1</v>
      </c>
      <c r="AE231" s="130" t="b">
        <v>1</v>
      </c>
      <c r="AF231" s="130" t="b">
        <v>1</v>
      </c>
      <c r="AG231" s="130" t="b">
        <v>1</v>
      </c>
    </row>
    <row r="232" spans="1:33">
      <c r="B232" s="292" t="s">
        <v>530</v>
      </c>
      <c r="C232" s="284" t="s">
        <v>396</v>
      </c>
      <c r="D232" s="1295">
        <f>6.58429</f>
        <v>6.5842900000000002</v>
      </c>
      <c r="E232" s="558">
        <f t="shared" si="109"/>
        <v>1.8770237844720326</v>
      </c>
      <c r="F232" s="559">
        <f t="shared" si="130"/>
        <v>0.37349071765337383</v>
      </c>
      <c r="G232" s="560">
        <f t="shared" si="130"/>
        <v>0.30929032085582536</v>
      </c>
      <c r="H232" s="561">
        <f t="shared" si="130"/>
        <v>1.1942427459628333</v>
      </c>
      <c r="I232" s="562">
        <f t="shared" si="104"/>
        <v>4.2747939240273096</v>
      </c>
      <c r="J232" s="559">
        <f t="shared" si="131"/>
        <v>1.9880937617620822</v>
      </c>
      <c r="K232" s="560">
        <f t="shared" si="131"/>
        <v>1.7088762807127755</v>
      </c>
      <c r="L232" s="560">
        <f t="shared" si="131"/>
        <v>0.57782388155245179</v>
      </c>
      <c r="M232" s="563">
        <f t="shared" si="131"/>
        <v>2.1910095395160402E-2</v>
      </c>
      <c r="N232" s="562">
        <f t="shared" ref="N232:N233" si="132">O232+P232</f>
        <v>0.22644994725873704</v>
      </c>
      <c r="O232" s="564">
        <f>IFERROR($D232*O$235/100, 0)</f>
        <v>0.22644994725873704</v>
      </c>
      <c r="P232" s="561">
        <f t="shared" si="131"/>
        <v>0</v>
      </c>
      <c r="Q232" s="562">
        <f t="shared" si="131"/>
        <v>0.18411224884676208</v>
      </c>
      <c r="R232" s="130"/>
      <c r="T232" s="130" t="b">
        <v>1</v>
      </c>
      <c r="U232" s="130" t="b">
        <v>1</v>
      </c>
      <c r="V232" s="130" t="b">
        <v>1</v>
      </c>
      <c r="W232" s="130" t="b">
        <v>1</v>
      </c>
      <c r="X232" s="130" t="b">
        <v>1</v>
      </c>
      <c r="Y232" s="130" t="b">
        <v>1</v>
      </c>
      <c r="Z232" s="130" t="b">
        <v>1</v>
      </c>
      <c r="AA232" s="130" t="b">
        <v>1</v>
      </c>
      <c r="AB232" s="130" t="b">
        <v>1</v>
      </c>
      <c r="AC232" s="130" t="b">
        <v>1</v>
      </c>
      <c r="AD232" s="130" t="b">
        <v>1</v>
      </c>
      <c r="AE232" s="130" t="b">
        <v>1</v>
      </c>
      <c r="AF232" s="130" t="b">
        <v>1</v>
      </c>
      <c r="AG232" s="130" t="b">
        <v>1</v>
      </c>
    </row>
    <row r="233" spans="1:33" ht="15" thickBot="1">
      <c r="B233" s="292" t="s">
        <v>531</v>
      </c>
      <c r="C233" s="284" t="s">
        <v>398</v>
      </c>
      <c r="D233" s="1295">
        <v>1.20642</v>
      </c>
      <c r="E233" s="558">
        <f t="shared" si="109"/>
        <v>0.34392152138844878</v>
      </c>
      <c r="F233" s="559">
        <f t="shared" si="130"/>
        <v>6.8433600523577068E-2</v>
      </c>
      <c r="G233" s="560">
        <f t="shared" si="130"/>
        <v>5.6670351531734602E-2</v>
      </c>
      <c r="H233" s="561">
        <f t="shared" si="130"/>
        <v>0.21881756933313715</v>
      </c>
      <c r="I233" s="562">
        <f t="shared" si="104"/>
        <v>0.78325785860358921</v>
      </c>
      <c r="J233" s="559">
        <f t="shared" si="131"/>
        <v>0.36427254511344592</v>
      </c>
      <c r="K233" s="560">
        <f t="shared" si="131"/>
        <v>0.31311235115365615</v>
      </c>
      <c r="L233" s="560">
        <f t="shared" si="131"/>
        <v>0.10587296233648713</v>
      </c>
      <c r="M233" s="563">
        <f t="shared" si="131"/>
        <v>4.0145220345138817E-3</v>
      </c>
      <c r="N233" s="562">
        <f t="shared" si="132"/>
        <v>4.1491754672392245E-2</v>
      </c>
      <c r="O233" s="564">
        <f>IFERROR($D233*O$235/100, 0)</f>
        <v>4.1491754672392245E-2</v>
      </c>
      <c r="P233" s="561">
        <f t="shared" si="131"/>
        <v>0</v>
      </c>
      <c r="Q233" s="562">
        <f t="shared" si="131"/>
        <v>3.3734343301056111E-2</v>
      </c>
      <c r="R233" s="130"/>
      <c r="T233" s="130" t="b">
        <v>1</v>
      </c>
      <c r="U233" s="130" t="b">
        <v>1</v>
      </c>
      <c r="V233" s="130" t="b">
        <v>1</v>
      </c>
      <c r="W233" s="130" t="b">
        <v>1</v>
      </c>
      <c r="X233" s="130" t="b">
        <v>1</v>
      </c>
      <c r="Y233" s="130" t="b">
        <v>1</v>
      </c>
      <c r="Z233" s="130" t="b">
        <v>1</v>
      </c>
      <c r="AA233" s="130" t="b">
        <v>1</v>
      </c>
      <c r="AB233" s="130" t="b">
        <v>1</v>
      </c>
      <c r="AC233" s="130" t="b">
        <v>1</v>
      </c>
      <c r="AD233" s="130" t="b">
        <v>1</v>
      </c>
      <c r="AE233" s="130" t="b">
        <v>1</v>
      </c>
      <c r="AF233" s="130" t="b">
        <v>1</v>
      </c>
      <c r="AG233" s="130" t="b">
        <v>1</v>
      </c>
    </row>
    <row r="234" spans="1:33" ht="106.2" thickBot="1">
      <c r="B234" s="135" t="s">
        <v>76</v>
      </c>
      <c r="C234" s="136" t="s">
        <v>532</v>
      </c>
      <c r="D234" s="137" t="s">
        <v>450</v>
      </c>
      <c r="E234" s="138" t="s">
        <v>247</v>
      </c>
      <c r="F234" s="139" t="s">
        <v>248</v>
      </c>
      <c r="G234" s="140" t="s">
        <v>249</v>
      </c>
      <c r="H234" s="141" t="s">
        <v>250</v>
      </c>
      <c r="I234" s="137" t="s">
        <v>251</v>
      </c>
      <c r="J234" s="139" t="s">
        <v>252</v>
      </c>
      <c r="K234" s="140" t="s">
        <v>253</v>
      </c>
      <c r="L234" s="141" t="s">
        <v>254</v>
      </c>
      <c r="M234" s="143" t="s">
        <v>255</v>
      </c>
      <c r="N234" s="137" t="s">
        <v>256</v>
      </c>
      <c r="O234" s="144" t="s">
        <v>257</v>
      </c>
      <c r="P234" s="141" t="s">
        <v>258</v>
      </c>
      <c r="Q234" s="138" t="s">
        <v>259</v>
      </c>
      <c r="R234" s="130"/>
      <c r="T234" s="130" t="b">
        <v>0</v>
      </c>
      <c r="U234" s="130" t="b">
        <v>1</v>
      </c>
      <c r="V234" s="130" t="b">
        <v>1</v>
      </c>
      <c r="W234" s="130" t="b">
        <v>1</v>
      </c>
      <c r="X234" s="130" t="b">
        <v>1</v>
      </c>
      <c r="Y234" s="130" t="b">
        <v>1</v>
      </c>
      <c r="Z234" s="130" t="b">
        <v>1</v>
      </c>
      <c r="AA234" s="130" t="b">
        <v>1</v>
      </c>
      <c r="AB234" s="130" t="b">
        <v>1</v>
      </c>
      <c r="AC234" s="130" t="b">
        <v>1</v>
      </c>
      <c r="AD234" s="130" t="b">
        <v>1</v>
      </c>
      <c r="AE234" s="130" t="b">
        <v>1</v>
      </c>
      <c r="AF234" s="130" t="b">
        <v>1</v>
      </c>
      <c r="AG234" s="130" t="b">
        <v>1</v>
      </c>
    </row>
    <row r="235" spans="1:33" ht="26.4">
      <c r="B235" s="565" t="s">
        <v>205</v>
      </c>
      <c r="C235" s="566" t="s">
        <v>533</v>
      </c>
      <c r="D235" s="156">
        <f>ROUND((O235+E235+I235+M235+P235+Q235),1)</f>
        <v>100</v>
      </c>
      <c r="E235" s="157">
        <f>SUM(F235:H235)</f>
        <v>28.507611063182704</v>
      </c>
      <c r="F235" s="158">
        <f>IFERROR((F23+F24)/($D$23+$D$24)*100, 0)</f>
        <v>5.672452423167476</v>
      </c>
      <c r="G235" s="159">
        <f>IFERROR((G23+G24)/($D$23+$D$24)*100, 0)</f>
        <v>4.6973982138670278</v>
      </c>
      <c r="H235" s="160">
        <f>IFERROR((H23+H24)/($D$23+$D$24)*100, 0)</f>
        <v>18.137760426148201</v>
      </c>
      <c r="I235" s="156">
        <f>SUM(J235:L235)</f>
        <v>64.924144046317963</v>
      </c>
      <c r="J235" s="158">
        <f t="shared" ref="J235:Q235" si="133">IFERROR((J23+J24)/($D$23+$D$24)*100, 0)</f>
        <v>30.194504825305113</v>
      </c>
      <c r="K235" s="159">
        <f t="shared" si="133"/>
        <v>25.953842870116222</v>
      </c>
      <c r="L235" s="159">
        <f t="shared" si="133"/>
        <v>8.7757963508966306</v>
      </c>
      <c r="M235" s="161">
        <f t="shared" si="133"/>
        <v>0.33276321965102384</v>
      </c>
      <c r="N235" s="156">
        <f t="shared" ref="N235:N236" si="134">O235+P235</f>
        <v>3.439246255233853</v>
      </c>
      <c r="O235" s="162">
        <f>IFERROR((O23+O24)/($D$23+$D$24)*100, 0)</f>
        <v>3.439246255233853</v>
      </c>
      <c r="P235" s="160">
        <f t="shared" si="133"/>
        <v>0</v>
      </c>
      <c r="Q235" s="156">
        <f t="shared" si="133"/>
        <v>2.7962354156144715</v>
      </c>
      <c r="R235" s="130"/>
      <c r="T235" s="130" t="b">
        <v>1</v>
      </c>
      <c r="U235" s="130" t="b">
        <v>1</v>
      </c>
      <c r="V235" s="532">
        <v>0</v>
      </c>
      <c r="W235" s="130" t="b">
        <v>1</v>
      </c>
      <c r="X235" s="130" t="b">
        <v>1</v>
      </c>
      <c r="Y235" s="130" t="b">
        <v>1</v>
      </c>
      <c r="Z235" s="130" t="b">
        <v>1</v>
      </c>
      <c r="AA235" s="130" t="b">
        <v>1</v>
      </c>
      <c r="AB235" s="172">
        <v>0</v>
      </c>
      <c r="AC235" s="130" t="b">
        <v>1</v>
      </c>
      <c r="AD235" s="130" t="b">
        <v>1</v>
      </c>
      <c r="AE235" s="130" t="b">
        <v>1</v>
      </c>
      <c r="AF235" s="130" t="b">
        <v>1</v>
      </c>
      <c r="AG235" s="130" t="b">
        <v>1</v>
      </c>
    </row>
    <row r="236" spans="1:33" ht="15" thickBot="1">
      <c r="B236" s="567" t="s">
        <v>207</v>
      </c>
      <c r="C236" s="568" t="s">
        <v>534</v>
      </c>
      <c r="D236" s="569">
        <f>ROUND((O236+E236+I236+M236+P236+Q236),1)</f>
        <v>100</v>
      </c>
      <c r="E236" s="570">
        <f>SUM(F236:H236)</f>
        <v>28.507611063182708</v>
      </c>
      <c r="F236" s="571">
        <f>'6'!F132</f>
        <v>5.6724524231674751</v>
      </c>
      <c r="G236" s="572">
        <f>'6'!G132</f>
        <v>4.6973982138670287</v>
      </c>
      <c r="H236" s="573">
        <f>'6'!H132</f>
        <v>18.137760426148205</v>
      </c>
      <c r="I236" s="569">
        <f>SUM(J236:L236)</f>
        <v>64.924144046317963</v>
      </c>
      <c r="J236" s="571">
        <f>'6'!J132</f>
        <v>30.194504825305113</v>
      </c>
      <c r="K236" s="572">
        <f>'6'!K132</f>
        <v>25.953842870116222</v>
      </c>
      <c r="L236" s="572">
        <f>'6'!L132</f>
        <v>8.7757963508966288</v>
      </c>
      <c r="M236" s="574">
        <f>'6'!M132</f>
        <v>0.33276321965102379</v>
      </c>
      <c r="N236" s="569">
        <f t="shared" si="134"/>
        <v>3.439246255233853</v>
      </c>
      <c r="O236" s="575">
        <f>'6'!O132</f>
        <v>3.439246255233853</v>
      </c>
      <c r="P236" s="573">
        <f>'6'!P132</f>
        <v>0</v>
      </c>
      <c r="Q236" s="569">
        <f>'6'!Q132</f>
        <v>2.7962354156144715</v>
      </c>
      <c r="R236" s="130"/>
      <c r="T236" s="130" t="b">
        <v>1</v>
      </c>
      <c r="U236" s="130" t="b">
        <v>1</v>
      </c>
      <c r="V236" s="130" t="b">
        <v>1</v>
      </c>
      <c r="W236" s="130" t="b">
        <v>1</v>
      </c>
      <c r="X236" s="130" t="b">
        <v>1</v>
      </c>
      <c r="Y236" s="130" t="b">
        <v>1</v>
      </c>
      <c r="Z236" s="130" t="b">
        <v>1</v>
      </c>
      <c r="AA236" s="130" t="b">
        <v>1</v>
      </c>
      <c r="AB236" s="130" t="b">
        <v>1</v>
      </c>
      <c r="AC236" s="130" t="b">
        <v>1</v>
      </c>
      <c r="AD236" s="130" t="b">
        <v>1</v>
      </c>
      <c r="AE236" s="130" t="b">
        <v>1</v>
      </c>
      <c r="AF236" s="130" t="b">
        <v>1</v>
      </c>
      <c r="AG236" s="130" t="b">
        <v>1</v>
      </c>
    </row>
    <row r="238" spans="1:33">
      <c r="C238" s="576" t="s">
        <v>535</v>
      </c>
    </row>
    <row r="239" spans="1:33">
      <c r="C239" s="577" t="s">
        <v>536</v>
      </c>
    </row>
  </sheetData>
  <conditionalFormatting sqref="D9:Q236">
    <cfRule type="cellIs" dxfId="0" priority="1" operator="lessThan">
      <formula>0</formula>
    </cfRule>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5D541-9C3F-455D-98D6-6955B2C82F3C}">
  <sheetPr>
    <tabColor theme="0" tint="-0.14999847407452621"/>
  </sheetPr>
  <dimension ref="A1:R54"/>
  <sheetViews>
    <sheetView showGridLines="0" topLeftCell="B37" workbookViewId="0">
      <selection activeCell="D49" sqref="D49"/>
    </sheetView>
  </sheetViews>
  <sheetFormatPr defaultRowHeight="14.4"/>
  <cols>
    <col min="2" max="2" width="9.109375" style="130"/>
    <col min="3" max="3" width="51.5546875" style="130" customWidth="1"/>
    <col min="4" max="4" width="22.5546875" style="130" customWidth="1"/>
    <col min="5" max="5" width="22.6640625" style="130" customWidth="1"/>
    <col min="6" max="6" width="12.6640625" bestFit="1" customWidth="1"/>
    <col min="7" max="7" width="11.44140625" customWidth="1"/>
    <col min="12" max="12" width="11.5546875" customWidth="1"/>
    <col min="13" max="13" width="12" bestFit="1" customWidth="1"/>
  </cols>
  <sheetData>
    <row r="1" spans="1:18">
      <c r="A1" s="578"/>
      <c r="B1" s="578"/>
      <c r="C1" s="578"/>
      <c r="D1" s="579"/>
      <c r="E1" s="578"/>
    </row>
    <row r="2" spans="1:18" ht="72">
      <c r="A2" s="578"/>
      <c r="B2" s="578"/>
      <c r="C2" s="578"/>
      <c r="D2" s="579"/>
      <c r="E2" s="580" t="s">
        <v>537</v>
      </c>
    </row>
    <row r="3" spans="1:18">
      <c r="A3" s="578"/>
      <c r="B3" s="578"/>
      <c r="C3" s="28" t="s">
        <v>1262</v>
      </c>
      <c r="D3" s="579"/>
      <c r="E3" s="578"/>
    </row>
    <row r="4" spans="1:18">
      <c r="A4" s="578"/>
      <c r="B4" s="578"/>
      <c r="C4" s="28" t="s">
        <v>1357</v>
      </c>
      <c r="D4" s="579"/>
      <c r="E4" s="578"/>
    </row>
    <row r="5" spans="1:18">
      <c r="A5" s="578"/>
      <c r="B5" s="578"/>
      <c r="C5" s="578"/>
      <c r="D5" s="579"/>
      <c r="E5" s="578"/>
    </row>
    <row r="6" spans="1:18" ht="46.8">
      <c r="A6" s="578"/>
      <c r="B6" s="578"/>
      <c r="C6" s="581" t="s">
        <v>538</v>
      </c>
      <c r="D6" s="579"/>
      <c r="E6" s="578"/>
    </row>
    <row r="7" spans="1:18" ht="15" thickBot="1">
      <c r="A7" s="578"/>
      <c r="B7" s="578"/>
      <c r="C7" s="578"/>
      <c r="D7" s="579"/>
      <c r="E7" s="578"/>
    </row>
    <row r="8" spans="1:18" ht="15" thickBot="1">
      <c r="A8" s="578"/>
      <c r="B8" s="582" t="s">
        <v>2</v>
      </c>
      <c r="C8" s="583" t="s">
        <v>89</v>
      </c>
      <c r="D8" s="584" t="s">
        <v>46</v>
      </c>
      <c r="E8" s="585" t="s">
        <v>90</v>
      </c>
      <c r="F8" s="130"/>
      <c r="G8" s="130"/>
      <c r="H8" s="130"/>
      <c r="I8" s="130"/>
      <c r="J8" s="130"/>
      <c r="K8" s="130"/>
      <c r="L8" s="130"/>
      <c r="M8" s="130"/>
      <c r="N8" s="130"/>
      <c r="O8" s="130"/>
      <c r="P8" s="130"/>
      <c r="Q8" s="130"/>
      <c r="R8" s="130"/>
    </row>
    <row r="9" spans="1:18" ht="24" thickTop="1" thickBot="1">
      <c r="A9" s="578"/>
      <c r="B9" s="586" t="s">
        <v>539</v>
      </c>
      <c r="C9" s="587" t="s">
        <v>540</v>
      </c>
      <c r="D9" s="588">
        <f>+'2'!D10</f>
        <v>9760.2720000000008</v>
      </c>
      <c r="E9" s="589" t="s">
        <v>541</v>
      </c>
      <c r="F9" s="130" t="b">
        <v>1</v>
      </c>
      <c r="G9" s="130"/>
      <c r="H9" s="130"/>
      <c r="I9" s="130"/>
      <c r="J9" s="130"/>
      <c r="K9" s="130"/>
      <c r="L9" s="130"/>
      <c r="M9" s="130"/>
      <c r="N9" s="130"/>
      <c r="O9" s="130"/>
      <c r="P9" s="130"/>
      <c r="Q9" s="130"/>
      <c r="R9" s="130"/>
    </row>
    <row r="10" spans="1:18" ht="35.4" thickTop="1" thickBot="1">
      <c r="A10" s="578"/>
      <c r="B10" s="586" t="s">
        <v>48</v>
      </c>
      <c r="C10" s="587" t="s">
        <v>542</v>
      </c>
      <c r="D10" s="588">
        <f>SUM(D11:D12)+D16</f>
        <v>5140.4246900672279</v>
      </c>
      <c r="E10" s="589" t="s">
        <v>543</v>
      </c>
      <c r="F10" s="130" t="b">
        <v>1</v>
      </c>
      <c r="G10" s="130"/>
      <c r="H10" s="130"/>
      <c r="I10" s="130"/>
      <c r="J10" s="130"/>
      <c r="K10" s="130"/>
      <c r="L10" s="130"/>
      <c r="M10" s="130"/>
      <c r="N10" s="130"/>
      <c r="O10" s="130"/>
      <c r="P10" s="130"/>
      <c r="Q10" s="130"/>
      <c r="R10" s="130"/>
    </row>
    <row r="11" spans="1:18" ht="24.6" thickTop="1">
      <c r="A11" s="578"/>
      <c r="B11" s="590" t="s">
        <v>93</v>
      </c>
      <c r="C11" s="591" t="s">
        <v>544</v>
      </c>
      <c r="D11" s="592">
        <f>'7'!E8</f>
        <v>1585.8177306710388</v>
      </c>
      <c r="E11" s="125" t="s">
        <v>543</v>
      </c>
      <c r="F11" s="130" t="b">
        <v>1</v>
      </c>
      <c r="G11" s="130"/>
      <c r="H11" s="130"/>
      <c r="I11" s="130"/>
      <c r="J11" s="130"/>
      <c r="K11" s="130"/>
      <c r="L11" s="130"/>
      <c r="M11" s="130"/>
      <c r="N11" s="130"/>
      <c r="O11" s="130"/>
      <c r="P11" s="130"/>
      <c r="Q11" s="130"/>
      <c r="R11" s="130"/>
    </row>
    <row r="12" spans="1:18" ht="24">
      <c r="A12" s="578"/>
      <c r="B12" s="65" t="s">
        <v>99</v>
      </c>
      <c r="C12" s="86" t="s">
        <v>545</v>
      </c>
      <c r="D12" s="87">
        <f>'7'!I8</f>
        <v>3554.3797285493856</v>
      </c>
      <c r="E12" s="68" t="s">
        <v>543</v>
      </c>
      <c r="F12" s="130" t="b">
        <v>1</v>
      </c>
      <c r="G12" s="130"/>
      <c r="H12" s="130"/>
      <c r="I12" s="130"/>
      <c r="J12" s="130"/>
      <c r="K12" s="130"/>
      <c r="L12" s="130"/>
      <c r="M12" s="130"/>
      <c r="N12" s="130"/>
      <c r="O12" s="130"/>
      <c r="P12" s="130"/>
      <c r="Q12" s="130"/>
      <c r="R12" s="130"/>
    </row>
    <row r="13" spans="1:18" ht="24">
      <c r="A13" s="578"/>
      <c r="B13" s="65" t="s">
        <v>101</v>
      </c>
      <c r="C13" s="86" t="s">
        <v>546</v>
      </c>
      <c r="D13" s="87">
        <f>'7'!J8</f>
        <v>1914.1267863673766</v>
      </c>
      <c r="E13" s="68" t="s">
        <v>543</v>
      </c>
      <c r="F13" s="130" t="b">
        <v>1</v>
      </c>
      <c r="G13" s="130"/>
      <c r="H13" s="130"/>
      <c r="I13" s="130"/>
      <c r="J13" s="130"/>
      <c r="K13" s="130"/>
      <c r="L13" s="130"/>
      <c r="M13" s="130"/>
      <c r="N13" s="130"/>
      <c r="O13" s="130"/>
      <c r="P13" s="130"/>
      <c r="Q13" s="130"/>
      <c r="R13" s="130"/>
    </row>
    <row r="14" spans="1:18">
      <c r="A14" s="578"/>
      <c r="B14" s="65" t="s">
        <v>107</v>
      </c>
      <c r="C14" s="86" t="s">
        <v>547</v>
      </c>
      <c r="D14" s="87">
        <f>'7'!K8</f>
        <v>1612.4204426622734</v>
      </c>
      <c r="E14" s="68" t="s">
        <v>543</v>
      </c>
      <c r="F14" s="130" t="b">
        <v>1</v>
      </c>
      <c r="G14" s="130"/>
      <c r="H14" s="130"/>
      <c r="I14" s="130"/>
      <c r="J14" s="130"/>
      <c r="K14" s="130"/>
      <c r="L14" s="130"/>
      <c r="M14" s="130"/>
      <c r="N14" s="130"/>
      <c r="O14" s="130"/>
      <c r="P14" s="130"/>
      <c r="Q14" s="130"/>
      <c r="R14" s="130"/>
    </row>
    <row r="15" spans="1:18" ht="24">
      <c r="A15" s="578"/>
      <c r="B15" s="65" t="s">
        <v>114</v>
      </c>
      <c r="C15" s="86" t="s">
        <v>548</v>
      </c>
      <c r="D15" s="87">
        <f>'7'!L8</f>
        <v>27.832499519736015</v>
      </c>
      <c r="E15" s="68" t="s">
        <v>543</v>
      </c>
      <c r="F15" s="130" t="b">
        <v>1</v>
      </c>
      <c r="G15" s="130"/>
      <c r="H15" s="130"/>
      <c r="I15" s="130"/>
      <c r="J15" s="130"/>
      <c r="K15" s="130"/>
      <c r="L15" s="130"/>
      <c r="M15" s="130"/>
      <c r="N15" s="130"/>
      <c r="O15" s="130"/>
      <c r="P15" s="130"/>
      <c r="Q15" s="130"/>
      <c r="R15" s="130"/>
    </row>
    <row r="16" spans="1:18" ht="24.6" thickBot="1">
      <c r="A16" s="578"/>
      <c r="B16" s="69" t="s">
        <v>121</v>
      </c>
      <c r="C16" s="86" t="s">
        <v>549</v>
      </c>
      <c r="D16" s="87">
        <f>'7'!M8</f>
        <v>0.22723084680392897</v>
      </c>
      <c r="E16" s="68" t="s">
        <v>543</v>
      </c>
      <c r="F16" s="130" t="b">
        <v>1</v>
      </c>
      <c r="G16" s="130"/>
      <c r="H16" s="130"/>
      <c r="I16" s="130"/>
      <c r="J16" s="130"/>
      <c r="K16" s="130"/>
      <c r="L16" s="130"/>
      <c r="M16" s="130"/>
      <c r="N16" s="130"/>
      <c r="O16" s="130"/>
      <c r="P16" s="130"/>
      <c r="Q16" s="130"/>
      <c r="R16" s="130"/>
    </row>
    <row r="17" spans="1:18" ht="22.8">
      <c r="A17" s="578"/>
      <c r="B17" s="61" t="s">
        <v>50</v>
      </c>
      <c r="C17" s="593" t="s">
        <v>550</v>
      </c>
      <c r="D17" s="85">
        <f>SUM(D18:D27)</f>
        <v>4607.634931465318</v>
      </c>
      <c r="E17" s="64"/>
      <c r="F17" s="130" t="b">
        <v>1</v>
      </c>
      <c r="G17" s="130"/>
      <c r="H17" s="130"/>
      <c r="I17" s="130"/>
      <c r="J17" s="130"/>
      <c r="K17" s="130"/>
      <c r="L17" s="130"/>
      <c r="M17" s="130"/>
      <c r="N17" s="130"/>
      <c r="O17" s="130"/>
      <c r="P17" s="130"/>
      <c r="Q17" s="130"/>
      <c r="R17" s="130"/>
    </row>
    <row r="18" spans="1:18">
      <c r="A18" s="578"/>
      <c r="B18" s="65" t="s">
        <v>52</v>
      </c>
      <c r="C18" s="594" t="s">
        <v>551</v>
      </c>
      <c r="D18" s="1316">
        <v>2080.7409499999999</v>
      </c>
      <c r="E18" s="68"/>
      <c r="F18" s="130" t="b">
        <v>1</v>
      </c>
      <c r="G18" s="172"/>
      <c r="H18" s="130"/>
      <c r="I18" s="130"/>
      <c r="J18" s="130"/>
      <c r="K18" s="130"/>
      <c r="L18" s="130"/>
      <c r="M18" s="130"/>
      <c r="N18" s="130"/>
      <c r="O18" s="130"/>
      <c r="P18" s="130"/>
      <c r="Q18" s="130"/>
      <c r="R18" s="130"/>
    </row>
    <row r="19" spans="1:18" ht="24">
      <c r="A19" s="578"/>
      <c r="B19" s="65" t="s">
        <v>135</v>
      </c>
      <c r="C19" s="594" t="s">
        <v>552</v>
      </c>
      <c r="D19" s="595">
        <v>0</v>
      </c>
      <c r="E19" s="68"/>
      <c r="F19" s="130" t="b">
        <v>1</v>
      </c>
      <c r="G19" s="130"/>
      <c r="H19" s="130"/>
      <c r="I19" s="130"/>
      <c r="J19" s="130"/>
      <c r="K19" s="130"/>
      <c r="L19" s="130"/>
      <c r="M19" s="130"/>
      <c r="N19" s="130"/>
      <c r="O19" s="130"/>
      <c r="P19" s="130"/>
      <c r="Q19" s="130"/>
      <c r="R19" s="130"/>
    </row>
    <row r="20" spans="1:18">
      <c r="A20" s="578"/>
      <c r="B20" s="65" t="s">
        <v>296</v>
      </c>
      <c r="C20" s="594" t="s">
        <v>553</v>
      </c>
      <c r="D20" s="595">
        <v>0</v>
      </c>
      <c r="E20" s="68"/>
      <c r="F20" s="130" t="b">
        <v>1</v>
      </c>
      <c r="G20" s="130"/>
      <c r="H20" s="130"/>
      <c r="I20" s="130"/>
      <c r="J20" s="130"/>
      <c r="K20" s="130"/>
      <c r="L20" s="130"/>
      <c r="M20" s="130"/>
      <c r="N20" s="130"/>
      <c r="O20" s="130"/>
      <c r="P20" s="130"/>
      <c r="Q20" s="130"/>
      <c r="R20" s="130"/>
    </row>
    <row r="21" spans="1:18">
      <c r="A21" s="578"/>
      <c r="B21" s="65" t="s">
        <v>301</v>
      </c>
      <c r="C21" s="594" t="s">
        <v>554</v>
      </c>
      <c r="D21" s="595">
        <v>0</v>
      </c>
      <c r="E21" s="68"/>
      <c r="F21" s="130" t="b">
        <v>1</v>
      </c>
      <c r="G21" s="130"/>
      <c r="H21" s="130"/>
      <c r="I21" s="130"/>
      <c r="J21" s="130"/>
      <c r="K21" s="130"/>
      <c r="L21" s="130"/>
      <c r="M21" s="130"/>
      <c r="N21" s="130"/>
      <c r="O21" s="130"/>
      <c r="P21" s="130"/>
      <c r="Q21" s="130"/>
      <c r="R21" s="130"/>
    </row>
    <row r="22" spans="1:18">
      <c r="A22" s="578"/>
      <c r="B22" s="65" t="s">
        <v>306</v>
      </c>
      <c r="C22" s="594" t="s">
        <v>555</v>
      </c>
      <c r="D22" s="1316">
        <v>241.85</v>
      </c>
      <c r="E22" s="68"/>
      <c r="F22" s="130" t="b">
        <v>1</v>
      </c>
      <c r="G22" s="130"/>
      <c r="H22" s="130"/>
      <c r="I22" s="130"/>
      <c r="J22" s="130"/>
      <c r="K22" s="130"/>
      <c r="L22" s="130"/>
      <c r="M22" s="130"/>
      <c r="N22" s="130"/>
      <c r="O22" s="130"/>
      <c r="P22" s="130"/>
      <c r="Q22" s="130"/>
      <c r="R22" s="130"/>
    </row>
    <row r="23" spans="1:18">
      <c r="A23" s="578"/>
      <c r="B23" s="65" t="s">
        <v>312</v>
      </c>
      <c r="C23" s="594" t="s">
        <v>556</v>
      </c>
      <c r="D23" s="595">
        <v>0</v>
      </c>
      <c r="E23" s="68"/>
      <c r="F23" s="130" t="b">
        <v>1</v>
      </c>
      <c r="G23" s="130"/>
      <c r="H23" s="130"/>
      <c r="I23" s="130"/>
      <c r="J23" s="130"/>
      <c r="K23" s="130"/>
      <c r="L23" s="130"/>
      <c r="M23" s="130"/>
      <c r="N23" s="130"/>
      <c r="O23" s="130"/>
      <c r="P23" s="130"/>
      <c r="Q23" s="130"/>
      <c r="R23" s="130"/>
    </row>
    <row r="24" spans="1:18" ht="24">
      <c r="A24" s="578"/>
      <c r="B24" s="65" t="s">
        <v>316</v>
      </c>
      <c r="C24" s="594" t="s">
        <v>557</v>
      </c>
      <c r="D24" s="595">
        <v>0</v>
      </c>
      <c r="E24" s="68"/>
      <c r="F24" s="130" t="b">
        <v>1</v>
      </c>
      <c r="G24" s="130"/>
      <c r="H24" s="130"/>
      <c r="I24" s="130"/>
      <c r="J24" s="130"/>
      <c r="K24" s="130"/>
      <c r="L24" s="130"/>
      <c r="M24" s="130"/>
      <c r="N24" s="130"/>
      <c r="O24" s="130"/>
      <c r="P24" s="130"/>
      <c r="Q24" s="130"/>
      <c r="R24" s="130"/>
    </row>
    <row r="25" spans="1:18">
      <c r="A25" s="578"/>
      <c r="B25" s="65" t="s">
        <v>325</v>
      </c>
      <c r="C25" s="594" t="s">
        <v>558</v>
      </c>
      <c r="D25" s="1316">
        <v>1196.69534</v>
      </c>
      <c r="E25" s="68"/>
      <c r="F25" s="130" t="b">
        <v>1</v>
      </c>
      <c r="G25" s="596"/>
      <c r="H25" s="597"/>
      <c r="I25" s="130"/>
      <c r="J25" s="130"/>
      <c r="K25" s="597"/>
      <c r="L25" s="597"/>
      <c r="M25" s="597"/>
      <c r="N25" s="597"/>
      <c r="O25" s="597"/>
      <c r="P25" s="597"/>
      <c r="Q25" s="597"/>
      <c r="R25" s="597"/>
    </row>
    <row r="26" spans="1:18" ht="24">
      <c r="A26" s="578"/>
      <c r="B26" s="69" t="s">
        <v>327</v>
      </c>
      <c r="C26" s="598" t="s">
        <v>559</v>
      </c>
      <c r="D26" s="1317">
        <f>58.30264+48.90814</f>
        <v>107.21078</v>
      </c>
      <c r="E26" s="72"/>
      <c r="F26" s="130" t="b">
        <v>1</v>
      </c>
      <c r="G26" s="130"/>
      <c r="H26" s="130"/>
      <c r="I26" s="130"/>
      <c r="J26" s="130"/>
      <c r="K26" s="599"/>
      <c r="L26" s="130"/>
      <c r="M26" s="130"/>
      <c r="N26" s="130"/>
      <c r="O26" s="130"/>
      <c r="P26" s="130"/>
      <c r="Q26" s="130"/>
      <c r="R26" s="130"/>
    </row>
    <row r="27" spans="1:18" ht="23.4" thickBot="1">
      <c r="A27" s="578"/>
      <c r="B27" s="600" t="s">
        <v>337</v>
      </c>
      <c r="C27" s="601" t="s">
        <v>560</v>
      </c>
      <c r="D27" s="602">
        <f>D9-D10-D28-D18-D19-D20-D21-D22-D23-D24-D25-D26</f>
        <v>981.13786146531822</v>
      </c>
      <c r="E27" s="129"/>
      <c r="F27" s="130" t="b">
        <v>1</v>
      </c>
      <c r="G27" s="130"/>
      <c r="H27" s="130"/>
      <c r="I27" s="130"/>
      <c r="J27" s="130"/>
      <c r="K27" s="130"/>
      <c r="L27" s="130"/>
      <c r="M27" s="130"/>
      <c r="N27" s="130"/>
      <c r="O27" s="130"/>
      <c r="P27" s="130"/>
      <c r="Q27" s="130"/>
      <c r="R27" s="130"/>
    </row>
    <row r="28" spans="1:18">
      <c r="A28" s="578"/>
      <c r="B28" s="73" t="s">
        <v>56</v>
      </c>
      <c r="C28" s="603" t="s">
        <v>561</v>
      </c>
      <c r="D28" s="604">
        <f>SUM(D29:D31)</f>
        <v>12.212378467455013</v>
      </c>
      <c r="E28" s="68" t="s">
        <v>543</v>
      </c>
      <c r="F28" s="130" t="b">
        <v>1</v>
      </c>
      <c r="G28" s="130"/>
      <c r="H28" s="130"/>
      <c r="I28" s="130"/>
      <c r="J28" s="130"/>
      <c r="K28" s="130"/>
      <c r="L28" s="130"/>
      <c r="M28" s="130"/>
      <c r="N28" s="130"/>
      <c r="O28" s="130"/>
      <c r="P28" s="130"/>
      <c r="Q28" s="130"/>
      <c r="R28" s="130"/>
    </row>
    <row r="29" spans="1:18">
      <c r="A29" s="578"/>
      <c r="B29" s="69" t="s">
        <v>144</v>
      </c>
      <c r="C29" s="96" t="s">
        <v>562</v>
      </c>
      <c r="D29" s="97">
        <f>'7'!O8</f>
        <v>10.302939852155037</v>
      </c>
      <c r="E29" s="72" t="s">
        <v>543</v>
      </c>
      <c r="F29" s="130" t="b">
        <v>1</v>
      </c>
      <c r="G29" s="130"/>
      <c r="H29" s="130"/>
      <c r="I29" s="130"/>
      <c r="J29" s="130"/>
      <c r="K29" s="130"/>
      <c r="L29" s="130"/>
      <c r="M29" s="130"/>
      <c r="N29" s="130"/>
      <c r="O29" s="130"/>
      <c r="P29" s="130"/>
      <c r="Q29" s="130"/>
      <c r="R29" s="130"/>
    </row>
    <row r="30" spans="1:18">
      <c r="A30" s="578"/>
      <c r="B30" s="65" t="s">
        <v>146</v>
      </c>
      <c r="C30" s="86" t="s">
        <v>563</v>
      </c>
      <c r="D30" s="87">
        <f>'7'!P8</f>
        <v>0</v>
      </c>
      <c r="E30" s="68" t="s">
        <v>543</v>
      </c>
      <c r="F30" s="130" t="b">
        <v>1</v>
      </c>
      <c r="G30" s="130"/>
      <c r="H30" s="130"/>
      <c r="I30" s="130"/>
      <c r="J30" s="130"/>
      <c r="K30" s="130"/>
      <c r="L30" s="130"/>
      <c r="M30" s="130"/>
      <c r="N30" s="130"/>
      <c r="O30" s="130"/>
      <c r="P30" s="130"/>
      <c r="Q30" s="130"/>
      <c r="R30" s="130"/>
    </row>
    <row r="31" spans="1:18" ht="15" thickBot="1">
      <c r="A31" s="578"/>
      <c r="B31" s="69" t="s">
        <v>154</v>
      </c>
      <c r="C31" s="96" t="s">
        <v>564</v>
      </c>
      <c r="D31" s="97">
        <f>'7'!Q8</f>
        <v>1.9094386152999758</v>
      </c>
      <c r="E31" s="72" t="s">
        <v>543</v>
      </c>
      <c r="F31" s="130" t="b">
        <v>1</v>
      </c>
      <c r="G31" s="130"/>
      <c r="H31" s="130"/>
      <c r="I31" s="130"/>
      <c r="J31" s="130"/>
      <c r="K31" s="130"/>
      <c r="L31" s="130"/>
      <c r="M31" s="130"/>
      <c r="N31" s="130"/>
      <c r="O31" s="130"/>
      <c r="P31" s="130"/>
      <c r="Q31" s="130"/>
      <c r="R31" s="130"/>
    </row>
    <row r="32" spans="1:18" ht="24" thickTop="1" thickBot="1">
      <c r="A32" s="578"/>
      <c r="B32" s="586" t="s">
        <v>565</v>
      </c>
      <c r="C32" s="587" t="s">
        <v>566</v>
      </c>
      <c r="D32" s="1319">
        <f>24609.683+241.85</f>
        <v>24851.532999999999</v>
      </c>
      <c r="E32" s="589"/>
      <c r="F32" s="130" t="b">
        <v>1</v>
      </c>
      <c r="G32" s="130"/>
      <c r="H32" s="130"/>
      <c r="I32" s="130"/>
      <c r="J32" s="130"/>
      <c r="K32" s="130"/>
      <c r="L32" s="130"/>
      <c r="M32" s="130"/>
      <c r="N32" s="130"/>
      <c r="O32" s="130"/>
      <c r="P32" s="130"/>
      <c r="Q32" s="130"/>
      <c r="R32" s="130"/>
    </row>
    <row r="33" spans="1:18" ht="35.4" thickTop="1" thickBot="1">
      <c r="A33" s="578"/>
      <c r="B33" s="586" t="s">
        <v>60</v>
      </c>
      <c r="C33" s="587" t="s">
        <v>567</v>
      </c>
      <c r="D33" s="588">
        <f>SUM(D34:D35)+D39</f>
        <v>9865.0435674859618</v>
      </c>
      <c r="E33" s="589" t="s">
        <v>568</v>
      </c>
      <c r="F33" s="130" t="b">
        <v>1</v>
      </c>
      <c r="G33" s="130"/>
      <c r="H33" s="130"/>
      <c r="I33" s="130"/>
      <c r="J33" s="130"/>
      <c r="K33" s="130"/>
      <c r="L33" s="130"/>
      <c r="M33" s="130"/>
      <c r="N33" s="130"/>
      <c r="O33" s="130"/>
      <c r="P33" s="130"/>
      <c r="Q33" s="130"/>
      <c r="R33" s="130"/>
    </row>
    <row r="34" spans="1:18" ht="24.6" thickTop="1">
      <c r="A34" s="578"/>
      <c r="B34" s="590" t="s">
        <v>62</v>
      </c>
      <c r="C34" s="591" t="s">
        <v>569</v>
      </c>
      <c r="D34" s="592">
        <f>'6'!E8</f>
        <v>2890.7261572308016</v>
      </c>
      <c r="E34" s="125" t="s">
        <v>568</v>
      </c>
      <c r="F34" s="130" t="b">
        <v>1</v>
      </c>
      <c r="G34" s="130"/>
      <c r="H34" s="130"/>
      <c r="I34" s="130"/>
      <c r="J34" s="130"/>
      <c r="K34" s="130"/>
      <c r="L34" s="130"/>
      <c r="M34" s="130"/>
      <c r="N34" s="130"/>
      <c r="O34" s="130"/>
      <c r="P34" s="130"/>
      <c r="Q34" s="130"/>
      <c r="R34" s="130"/>
    </row>
    <row r="35" spans="1:18" ht="24">
      <c r="A35" s="578"/>
      <c r="B35" s="65" t="s">
        <v>66</v>
      </c>
      <c r="C35" s="86" t="s">
        <v>570</v>
      </c>
      <c r="D35" s="87">
        <f>'6'!I8</f>
        <v>6973.9143278446954</v>
      </c>
      <c r="E35" s="68" t="s">
        <v>568</v>
      </c>
      <c r="F35" s="130" t="b">
        <v>1</v>
      </c>
      <c r="G35" s="130"/>
      <c r="H35" s="130"/>
      <c r="I35" s="130"/>
      <c r="J35" s="130"/>
      <c r="K35" s="130"/>
      <c r="L35" s="130"/>
      <c r="M35" s="130"/>
      <c r="N35" s="130"/>
      <c r="O35" s="130"/>
      <c r="P35" s="130"/>
      <c r="Q35" s="130"/>
      <c r="R35" s="130"/>
    </row>
    <row r="36" spans="1:18" ht="24">
      <c r="A36" s="578"/>
      <c r="B36" s="65" t="s">
        <v>571</v>
      </c>
      <c r="C36" s="86" t="s">
        <v>572</v>
      </c>
      <c r="D36" s="87">
        <f>'6'!J8</f>
        <v>3374.9221035734913</v>
      </c>
      <c r="E36" s="68" t="s">
        <v>568</v>
      </c>
      <c r="F36" s="130" t="b">
        <v>1</v>
      </c>
      <c r="G36" s="130"/>
      <c r="H36" s="130"/>
      <c r="I36" s="130"/>
      <c r="J36" s="130"/>
      <c r="K36" s="130"/>
      <c r="L36" s="130"/>
      <c r="M36" s="130"/>
      <c r="N36" s="130"/>
      <c r="O36" s="130"/>
      <c r="P36" s="130"/>
      <c r="Q36" s="130"/>
      <c r="R36" s="130"/>
    </row>
    <row r="37" spans="1:18">
      <c r="A37" s="578"/>
      <c r="B37" s="65" t="s">
        <v>573</v>
      </c>
      <c r="C37" s="86" t="s">
        <v>574</v>
      </c>
      <c r="D37" s="87">
        <f>'6'!K8</f>
        <v>3551.4871145443412</v>
      </c>
      <c r="E37" s="68" t="s">
        <v>568</v>
      </c>
      <c r="F37" s="130" t="b">
        <v>1</v>
      </c>
      <c r="G37" s="130"/>
      <c r="H37" s="130"/>
      <c r="I37" s="130"/>
      <c r="J37" s="130"/>
      <c r="K37" s="130"/>
      <c r="L37" s="130"/>
      <c r="M37" s="130"/>
      <c r="N37" s="130"/>
      <c r="O37" s="130"/>
      <c r="P37" s="130"/>
      <c r="Q37" s="130"/>
      <c r="R37" s="130"/>
    </row>
    <row r="38" spans="1:18" ht="24">
      <c r="A38" s="578"/>
      <c r="B38" s="65" t="s">
        <v>575</v>
      </c>
      <c r="C38" s="86" t="s">
        <v>576</v>
      </c>
      <c r="D38" s="87">
        <f>'6'!L8</f>
        <v>47.50510972686412</v>
      </c>
      <c r="E38" s="68" t="s">
        <v>568</v>
      </c>
      <c r="F38" s="130" t="b">
        <v>1</v>
      </c>
      <c r="G38" s="130"/>
      <c r="H38" s="130"/>
      <c r="I38" s="130"/>
      <c r="J38" s="130"/>
      <c r="K38" s="130"/>
      <c r="L38" s="130"/>
      <c r="M38" s="130"/>
      <c r="N38" s="130"/>
      <c r="O38" s="130"/>
      <c r="P38" s="130"/>
      <c r="Q38" s="130"/>
      <c r="R38" s="130"/>
    </row>
    <row r="39" spans="1:18" ht="24.6" thickBot="1">
      <c r="A39" s="578"/>
      <c r="B39" s="69" t="s">
        <v>68</v>
      </c>
      <c r="C39" s="86" t="s">
        <v>577</v>
      </c>
      <c r="D39" s="87">
        <f>'6'!M8</f>
        <v>0.40308241046445847</v>
      </c>
      <c r="E39" s="68" t="s">
        <v>568</v>
      </c>
      <c r="F39" s="130" t="b">
        <v>1</v>
      </c>
      <c r="G39" s="130"/>
      <c r="H39" s="130"/>
      <c r="I39" s="130"/>
      <c r="J39" s="130"/>
      <c r="K39" s="130"/>
      <c r="L39" s="130"/>
      <c r="M39" s="130"/>
      <c r="N39" s="130"/>
      <c r="O39" s="130"/>
      <c r="P39" s="130"/>
      <c r="Q39" s="130"/>
      <c r="R39" s="130"/>
    </row>
    <row r="40" spans="1:18" ht="22.8">
      <c r="A40" s="578"/>
      <c r="B40" s="61" t="s">
        <v>74</v>
      </c>
      <c r="C40" s="593" t="s">
        <v>578</v>
      </c>
      <c r="D40" s="85">
        <f>SUM(D41:D50)</f>
        <v>14970.8681447</v>
      </c>
      <c r="E40" s="64"/>
      <c r="F40" s="130" t="b">
        <v>1</v>
      </c>
      <c r="G40" s="130"/>
      <c r="H40" s="130"/>
      <c r="I40" s="130"/>
      <c r="J40" s="130"/>
      <c r="K40" s="130"/>
      <c r="L40" s="130"/>
      <c r="M40" s="130"/>
      <c r="N40" s="130"/>
      <c r="O40" s="130"/>
      <c r="P40" s="130"/>
      <c r="Q40" s="130"/>
      <c r="R40" s="130"/>
    </row>
    <row r="41" spans="1:18">
      <c r="A41" s="578"/>
      <c r="B41" s="65" t="s">
        <v>491</v>
      </c>
      <c r="C41" s="594" t="s">
        <v>551</v>
      </c>
      <c r="D41" s="1316">
        <v>13169.761594699999</v>
      </c>
      <c r="E41" s="68"/>
      <c r="F41" s="130" t="b">
        <v>1</v>
      </c>
      <c r="G41" s="130"/>
      <c r="H41" s="130"/>
      <c r="I41" s="130"/>
      <c r="J41" s="130"/>
      <c r="K41" s="130"/>
      <c r="L41" s="130"/>
      <c r="M41" s="130"/>
      <c r="N41" s="130"/>
      <c r="O41" s="130"/>
      <c r="P41" s="130"/>
      <c r="Q41" s="130"/>
      <c r="R41" s="130"/>
    </row>
    <row r="42" spans="1:18" ht="24">
      <c r="A42" s="578"/>
      <c r="B42" s="65" t="s">
        <v>164</v>
      </c>
      <c r="C42" s="594" t="s">
        <v>552</v>
      </c>
      <c r="D42" s="595">
        <v>0</v>
      </c>
      <c r="E42" s="68"/>
      <c r="F42" s="130" t="b">
        <v>1</v>
      </c>
      <c r="G42" s="130"/>
      <c r="H42" s="130"/>
      <c r="I42" s="130"/>
      <c r="J42" s="130"/>
      <c r="K42" s="130"/>
      <c r="L42" s="130"/>
      <c r="M42" s="130"/>
      <c r="N42" s="130"/>
      <c r="O42" s="130"/>
      <c r="P42" s="130"/>
      <c r="Q42" s="130"/>
      <c r="R42" s="130"/>
    </row>
    <row r="43" spans="1:18">
      <c r="A43" s="578"/>
      <c r="B43" s="65" t="s">
        <v>166</v>
      </c>
      <c r="C43" s="594" t="s">
        <v>553</v>
      </c>
      <c r="D43" s="595">
        <v>0</v>
      </c>
      <c r="E43" s="68"/>
      <c r="F43" s="130" t="b">
        <v>1</v>
      </c>
      <c r="G43" s="130"/>
      <c r="H43" s="130"/>
      <c r="I43" s="130"/>
      <c r="J43" s="130"/>
      <c r="K43" s="130"/>
      <c r="L43" s="130"/>
      <c r="M43" s="130"/>
      <c r="N43" s="130"/>
      <c r="O43" s="130"/>
      <c r="P43" s="130"/>
      <c r="Q43" s="130"/>
      <c r="R43" s="130"/>
    </row>
    <row r="44" spans="1:18">
      <c r="A44" s="578"/>
      <c r="B44" s="65" t="s">
        <v>168</v>
      </c>
      <c r="C44" s="594" t="s">
        <v>554</v>
      </c>
      <c r="D44" s="595">
        <v>0</v>
      </c>
      <c r="E44" s="68"/>
      <c r="F44" s="130" t="b">
        <v>1</v>
      </c>
      <c r="G44" s="130"/>
      <c r="H44" s="130"/>
      <c r="I44" s="130"/>
      <c r="J44" s="130"/>
      <c r="K44" s="130"/>
      <c r="L44" s="130"/>
      <c r="M44" s="130"/>
      <c r="N44" s="130"/>
      <c r="O44" s="130"/>
      <c r="P44" s="130"/>
      <c r="Q44" s="130"/>
      <c r="R44" s="130"/>
    </row>
    <row r="45" spans="1:18">
      <c r="A45" s="578"/>
      <c r="B45" s="65" t="s">
        <v>170</v>
      </c>
      <c r="C45" s="594" t="s">
        <v>555</v>
      </c>
      <c r="D45" s="1316">
        <v>241.85</v>
      </c>
      <c r="E45" s="68"/>
      <c r="F45" s="130" t="b">
        <v>1</v>
      </c>
      <c r="G45" s="130"/>
      <c r="H45" s="130"/>
      <c r="I45" s="130"/>
      <c r="J45" s="130"/>
      <c r="K45" s="130"/>
      <c r="L45" s="130"/>
      <c r="M45" s="130"/>
      <c r="N45" s="130"/>
      <c r="O45" s="130"/>
      <c r="P45" s="130"/>
      <c r="Q45" s="130"/>
      <c r="R45" s="130"/>
    </row>
    <row r="46" spans="1:18">
      <c r="A46" s="578"/>
      <c r="B46" s="65" t="s">
        <v>172</v>
      </c>
      <c r="C46" s="594" t="s">
        <v>556</v>
      </c>
      <c r="D46" s="595">
        <v>0</v>
      </c>
      <c r="E46" s="68"/>
      <c r="F46" s="130" t="b">
        <v>1</v>
      </c>
      <c r="G46" s="130"/>
      <c r="H46" s="130"/>
      <c r="I46" s="130"/>
      <c r="J46" s="130"/>
      <c r="K46" s="130"/>
      <c r="L46" s="130"/>
      <c r="M46" s="130"/>
      <c r="N46" s="130"/>
      <c r="O46" s="130"/>
      <c r="P46" s="130"/>
      <c r="Q46" s="130"/>
      <c r="R46" s="130"/>
    </row>
    <row r="47" spans="1:18" ht="24">
      <c r="A47" s="578"/>
      <c r="B47" s="65" t="s">
        <v>174</v>
      </c>
      <c r="C47" s="594" t="s">
        <v>557</v>
      </c>
      <c r="D47" s="595">
        <v>0</v>
      </c>
      <c r="E47" s="68"/>
      <c r="F47" s="130" t="b">
        <v>1</v>
      </c>
      <c r="G47" s="130"/>
      <c r="H47" s="130"/>
      <c r="I47" s="605"/>
      <c r="J47" s="605"/>
      <c r="K47" s="605"/>
      <c r="L47" s="130"/>
      <c r="M47" s="130"/>
      <c r="N47" s="130"/>
      <c r="O47" s="130"/>
      <c r="P47" s="130"/>
      <c r="Q47" s="130"/>
      <c r="R47" s="130"/>
    </row>
    <row r="48" spans="1:18">
      <c r="A48" s="578"/>
      <c r="B48" s="65" t="s">
        <v>176</v>
      </c>
      <c r="C48" s="594" t="s">
        <v>558</v>
      </c>
      <c r="D48" s="1316">
        <f>1196.69534+263.02456</f>
        <v>1459.7199000000001</v>
      </c>
      <c r="E48" s="68"/>
      <c r="F48" s="130" t="b">
        <v>1</v>
      </c>
      <c r="G48" s="130"/>
      <c r="H48" s="130"/>
      <c r="I48" s="597"/>
      <c r="J48" s="597"/>
      <c r="K48" s="597"/>
      <c r="L48" s="130"/>
      <c r="M48" s="130"/>
      <c r="N48" s="130"/>
      <c r="O48" s="130"/>
      <c r="P48" s="130"/>
      <c r="Q48" s="130"/>
      <c r="R48" s="130"/>
    </row>
    <row r="49" spans="1:18" ht="24">
      <c r="A49" s="578"/>
      <c r="B49" s="69" t="s">
        <v>178</v>
      </c>
      <c r="C49" s="598" t="s">
        <v>559</v>
      </c>
      <c r="D49" s="1317">
        <f>48.90814+60.00264</f>
        <v>108.91078</v>
      </c>
      <c r="E49" s="72"/>
      <c r="F49" s="130" t="b">
        <v>1</v>
      </c>
      <c r="G49" s="130"/>
      <c r="H49" s="606"/>
      <c r="I49" s="606"/>
      <c r="J49" s="606"/>
      <c r="K49" s="606"/>
      <c r="L49" s="606"/>
      <c r="M49" s="606"/>
      <c r="N49" s="606"/>
      <c r="O49" s="606"/>
      <c r="P49" s="130"/>
      <c r="Q49" s="130"/>
      <c r="R49" s="130"/>
    </row>
    <row r="50" spans="1:18" ht="15" thickBot="1">
      <c r="A50" s="578"/>
      <c r="B50" s="600" t="s">
        <v>180</v>
      </c>
      <c r="C50" s="601" t="s">
        <v>579</v>
      </c>
      <c r="D50" s="607">
        <f>D32-D33-D51-D41-D42-D43-D44-D45-D46-D47-D48-D49</f>
        <v>-9.3741299999995391</v>
      </c>
      <c r="E50" s="129"/>
      <c r="F50" s="130" t="b">
        <v>1</v>
      </c>
      <c r="G50" s="130"/>
      <c r="H50" s="130"/>
      <c r="I50" s="130"/>
      <c r="J50" s="130"/>
      <c r="K50" s="130"/>
      <c r="L50" s="130"/>
      <c r="M50" s="130"/>
      <c r="N50" s="130"/>
      <c r="O50" s="130"/>
      <c r="P50" s="130"/>
      <c r="Q50" s="130"/>
      <c r="R50" s="130"/>
    </row>
    <row r="51" spans="1:18">
      <c r="A51" s="578"/>
      <c r="B51" s="73" t="s">
        <v>76</v>
      </c>
      <c r="C51" s="603" t="s">
        <v>580</v>
      </c>
      <c r="D51" s="604">
        <f>D53+D54+D52</f>
        <v>15.621287814037141</v>
      </c>
      <c r="E51" s="68" t="s">
        <v>568</v>
      </c>
      <c r="F51" s="130" t="b">
        <v>1</v>
      </c>
      <c r="G51" s="130"/>
      <c r="H51" s="130"/>
      <c r="I51" s="130"/>
      <c r="J51" s="130"/>
      <c r="K51" s="130"/>
      <c r="L51" s="130"/>
      <c r="M51" s="130"/>
      <c r="N51" s="130"/>
      <c r="O51" s="130"/>
      <c r="P51" s="130"/>
      <c r="Q51" s="130"/>
      <c r="R51" s="130"/>
    </row>
    <row r="52" spans="1:18">
      <c r="A52" s="578"/>
      <c r="B52" s="69" t="s">
        <v>205</v>
      </c>
      <c r="C52" s="96" t="s">
        <v>581</v>
      </c>
      <c r="D52" s="97">
        <f>'6'!O8</f>
        <v>12.234154726630434</v>
      </c>
      <c r="E52" s="72" t="s">
        <v>568</v>
      </c>
      <c r="F52" s="130" t="b">
        <v>1</v>
      </c>
      <c r="G52" s="130"/>
      <c r="H52" s="130"/>
      <c r="I52" s="130"/>
      <c r="J52" s="130"/>
      <c r="K52" s="130"/>
      <c r="L52" s="130"/>
      <c r="M52" s="130"/>
      <c r="N52" s="130"/>
      <c r="O52" s="130"/>
      <c r="P52" s="130"/>
      <c r="Q52" s="130"/>
      <c r="R52" s="130"/>
    </row>
    <row r="53" spans="1:18">
      <c r="A53" s="578"/>
      <c r="B53" s="65" t="s">
        <v>207</v>
      </c>
      <c r="C53" s="86" t="s">
        <v>582</v>
      </c>
      <c r="D53" s="87">
        <f>'6'!P8</f>
        <v>0</v>
      </c>
      <c r="E53" s="68" t="s">
        <v>568</v>
      </c>
      <c r="F53" s="130" t="b">
        <v>1</v>
      </c>
      <c r="G53" s="130"/>
      <c r="H53" s="130"/>
      <c r="I53" s="130"/>
      <c r="J53" s="130"/>
      <c r="K53" s="130"/>
      <c r="L53" s="130"/>
      <c r="M53" s="130"/>
      <c r="N53" s="130"/>
      <c r="O53" s="130"/>
      <c r="P53" s="130"/>
      <c r="Q53" s="130"/>
      <c r="R53" s="130"/>
    </row>
    <row r="54" spans="1:18" ht="15" thickBot="1">
      <c r="A54" s="578"/>
      <c r="B54" s="126" t="s">
        <v>215</v>
      </c>
      <c r="C54" s="127" t="s">
        <v>583</v>
      </c>
      <c r="D54" s="128">
        <f>'6'!Q8</f>
        <v>3.3871330874067063</v>
      </c>
      <c r="E54" s="129" t="s">
        <v>568</v>
      </c>
      <c r="F54" s="130" t="b">
        <v>1</v>
      </c>
      <c r="G54" s="130"/>
      <c r="H54" s="130"/>
      <c r="I54" s="130"/>
      <c r="J54" s="130"/>
      <c r="K54" s="130"/>
      <c r="L54" s="130"/>
      <c r="M54" s="130"/>
      <c r="N54" s="130"/>
      <c r="O54" s="130"/>
      <c r="P54" s="130"/>
      <c r="Q54" s="130"/>
      <c r="R54" s="13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D70A7-4638-4D22-966F-C33C1624F57D}">
  <sheetPr>
    <tabColor theme="0" tint="-0.14999847407452621"/>
  </sheetPr>
  <dimension ref="A1:U132"/>
  <sheetViews>
    <sheetView showGridLines="0" topLeftCell="A121" workbookViewId="0">
      <selection activeCell="O117" sqref="O117:Q131"/>
    </sheetView>
  </sheetViews>
  <sheetFormatPr defaultRowHeight="14.4"/>
  <cols>
    <col min="1" max="1" width="9.109375" style="131"/>
    <col min="3" max="3" width="61.44140625" customWidth="1"/>
    <col min="4" max="4" width="11" customWidth="1"/>
    <col min="5" max="5" width="11.44140625" customWidth="1"/>
    <col min="6" max="7" width="14.109375" customWidth="1"/>
    <col min="8" max="8" width="15.109375" customWidth="1"/>
    <col min="9" max="9" width="14.88671875" customWidth="1"/>
    <col min="10" max="10" width="17.5546875" customWidth="1"/>
    <col min="11" max="11" width="13.44140625" customWidth="1"/>
    <col min="12" max="12" width="12.109375" customWidth="1"/>
    <col min="13" max="13" width="21" customWidth="1"/>
    <col min="14" max="14" width="16" customWidth="1"/>
    <col min="15" max="15" width="13.44140625" customWidth="1"/>
    <col min="16" max="16" width="16.33203125" customWidth="1"/>
    <col min="17" max="17" width="23.33203125" customWidth="1"/>
    <col min="18" max="21" width="9.109375" style="130" customWidth="1"/>
  </cols>
  <sheetData>
    <row r="1" spans="1:21">
      <c r="A1" s="608"/>
      <c r="B1" s="609"/>
      <c r="C1" s="609"/>
      <c r="D1" s="609"/>
      <c r="E1" s="609"/>
      <c r="F1" s="609"/>
      <c r="G1" s="609"/>
      <c r="H1" s="609"/>
      <c r="I1" s="609"/>
      <c r="J1" s="609"/>
      <c r="K1" s="609"/>
      <c r="L1" s="609"/>
      <c r="M1" s="609"/>
      <c r="N1" s="609"/>
      <c r="O1" s="609"/>
      <c r="P1" s="609"/>
      <c r="Q1" s="609"/>
    </row>
    <row r="2" spans="1:21" ht="72">
      <c r="A2" s="608"/>
      <c r="B2" s="609"/>
      <c r="C2" s="28" t="s">
        <v>1262</v>
      </c>
      <c r="D2" s="609"/>
      <c r="E2" s="609"/>
      <c r="F2" s="609"/>
      <c r="G2" s="609"/>
      <c r="H2" s="609"/>
      <c r="I2" s="609"/>
      <c r="J2" s="609"/>
      <c r="K2" s="609"/>
      <c r="L2" s="609"/>
      <c r="M2" s="609"/>
      <c r="N2" s="609"/>
      <c r="O2" s="609"/>
      <c r="P2" s="609"/>
      <c r="Q2" s="580" t="s">
        <v>584</v>
      </c>
    </row>
    <row r="3" spans="1:21">
      <c r="A3" s="608"/>
      <c r="B3" s="609"/>
      <c r="C3" s="28" t="s">
        <v>1357</v>
      </c>
      <c r="D3" s="609"/>
      <c r="E3" s="609"/>
      <c r="F3" s="609"/>
      <c r="G3" s="609"/>
      <c r="H3" s="609"/>
      <c r="I3" s="609"/>
      <c r="J3" s="609"/>
      <c r="K3" s="609"/>
      <c r="L3" s="609"/>
      <c r="M3" s="609"/>
      <c r="N3" s="609"/>
      <c r="O3" s="609"/>
      <c r="P3" s="609"/>
      <c r="Q3" s="609"/>
    </row>
    <row r="4" spans="1:21">
      <c r="A4" s="608"/>
      <c r="B4" s="609"/>
      <c r="C4" s="609"/>
      <c r="D4" s="609"/>
      <c r="E4" s="609"/>
      <c r="F4" s="609"/>
      <c r="G4" s="609"/>
      <c r="H4" s="609"/>
      <c r="I4" s="609"/>
      <c r="J4" s="609"/>
      <c r="K4" s="609"/>
      <c r="L4" s="609"/>
      <c r="M4" s="609"/>
      <c r="N4" s="609"/>
      <c r="O4" s="609"/>
      <c r="P4" s="609"/>
      <c r="Q4" s="609"/>
    </row>
    <row r="5" spans="1:21" ht="15.6">
      <c r="A5" s="608"/>
      <c r="B5" s="609"/>
      <c r="C5" s="29" t="s">
        <v>585</v>
      </c>
      <c r="D5" s="609"/>
      <c r="E5" s="609"/>
      <c r="F5" s="609"/>
      <c r="G5" s="609"/>
      <c r="H5" s="609"/>
      <c r="I5" s="609"/>
      <c r="J5" s="609"/>
      <c r="K5" s="609"/>
      <c r="L5" s="609"/>
      <c r="M5" s="609"/>
      <c r="N5" s="609"/>
      <c r="O5" s="609"/>
      <c r="P5" s="609"/>
      <c r="Q5" s="609"/>
    </row>
    <row r="6" spans="1:21" s="131" customFormat="1" ht="15" thickBot="1">
      <c r="A6" s="608"/>
      <c r="B6" s="608"/>
      <c r="C6" s="608"/>
      <c r="D6" s="608"/>
      <c r="E6" s="608"/>
      <c r="F6" s="608" t="s">
        <v>1342</v>
      </c>
      <c r="G6" s="608" t="s">
        <v>1343</v>
      </c>
      <c r="H6" s="608" t="s">
        <v>1344</v>
      </c>
      <c r="I6" s="608"/>
      <c r="J6" s="608" t="s">
        <v>1345</v>
      </c>
      <c r="K6" s="608" t="s">
        <v>1346</v>
      </c>
      <c r="L6" s="608" t="s">
        <v>1347</v>
      </c>
      <c r="M6" s="608" t="s">
        <v>1348</v>
      </c>
      <c r="N6" s="608"/>
      <c r="O6" s="608" t="s">
        <v>1349</v>
      </c>
      <c r="P6" s="608" t="s">
        <v>1350</v>
      </c>
      <c r="Q6" s="608" t="s">
        <v>1351</v>
      </c>
      <c r="R6" s="130"/>
      <c r="S6" s="130"/>
      <c r="T6" s="130"/>
      <c r="U6" s="130"/>
    </row>
    <row r="7" spans="1:21" ht="66.599999999999994" thickBot="1">
      <c r="A7" s="608"/>
      <c r="B7" s="610" t="s">
        <v>2</v>
      </c>
      <c r="C7" s="611" t="s">
        <v>49</v>
      </c>
      <c r="D7" s="612" t="s">
        <v>246</v>
      </c>
      <c r="E7" s="613" t="s">
        <v>247</v>
      </c>
      <c r="F7" s="614" t="s">
        <v>248</v>
      </c>
      <c r="G7" s="615" t="s">
        <v>249</v>
      </c>
      <c r="H7" s="616" t="s">
        <v>250</v>
      </c>
      <c r="I7" s="612" t="s">
        <v>251</v>
      </c>
      <c r="J7" s="614" t="s">
        <v>252</v>
      </c>
      <c r="K7" s="615" t="s">
        <v>253</v>
      </c>
      <c r="L7" s="617" t="s">
        <v>254</v>
      </c>
      <c r="M7" s="618" t="s">
        <v>255</v>
      </c>
      <c r="N7" s="619" t="s">
        <v>256</v>
      </c>
      <c r="O7" s="620" t="s">
        <v>586</v>
      </c>
      <c r="P7" s="616" t="s">
        <v>258</v>
      </c>
      <c r="Q7" s="621" t="s">
        <v>259</v>
      </c>
      <c r="R7" s="131"/>
      <c r="S7" s="131"/>
      <c r="T7" s="131"/>
      <c r="U7" s="131"/>
    </row>
    <row r="8" spans="1:21" ht="15.6" thickTop="1" thickBot="1">
      <c r="A8" s="608"/>
      <c r="B8" s="622" t="s">
        <v>48</v>
      </c>
      <c r="C8" s="623" t="s">
        <v>587</v>
      </c>
      <c r="D8" s="624">
        <f>D9+D13+D18+D21+D24+D27</f>
        <v>9880.6648552999959</v>
      </c>
      <c r="E8" s="625">
        <f t="shared" ref="E8:Q8" si="0">E9+E13+E18+E21+E24+E27</f>
        <v>2890.7261572308016</v>
      </c>
      <c r="F8" s="626">
        <f t="shared" si="0"/>
        <v>224.23806641813258</v>
      </c>
      <c r="G8" s="627">
        <f t="shared" si="0"/>
        <v>956.41606551805</v>
      </c>
      <c r="H8" s="628">
        <f t="shared" si="0"/>
        <v>1710.0720252946189</v>
      </c>
      <c r="I8" s="624">
        <f t="shared" si="0"/>
        <v>6973.9143278446954</v>
      </c>
      <c r="J8" s="626">
        <f t="shared" si="0"/>
        <v>3374.9221035734913</v>
      </c>
      <c r="K8" s="627">
        <f t="shared" si="0"/>
        <v>3551.4871145443412</v>
      </c>
      <c r="L8" s="628">
        <f t="shared" si="0"/>
        <v>47.50510972686412</v>
      </c>
      <c r="M8" s="629">
        <f t="shared" si="0"/>
        <v>0.40308241046445847</v>
      </c>
      <c r="N8" s="624">
        <f>+O8+P8</f>
        <v>12.234154726630434</v>
      </c>
      <c r="O8" s="629">
        <f>O9+O13+O18+O21+O24+O27</f>
        <v>12.234154726630434</v>
      </c>
      <c r="P8" s="628">
        <f t="shared" si="0"/>
        <v>0</v>
      </c>
      <c r="Q8" s="625">
        <f t="shared" si="0"/>
        <v>3.3871330874067063</v>
      </c>
      <c r="R8" s="131"/>
      <c r="S8" s="131"/>
      <c r="T8" s="131"/>
      <c r="U8" s="131"/>
    </row>
    <row r="9" spans="1:21" ht="15" thickTop="1">
      <c r="A9" s="608"/>
      <c r="B9" s="630" t="s">
        <v>93</v>
      </c>
      <c r="C9" s="631" t="s">
        <v>6</v>
      </c>
      <c r="D9" s="632">
        <f t="shared" ref="D9:D53" si="1">O9+E9+I9+M9+P9+Q9</f>
        <v>0</v>
      </c>
      <c r="E9" s="633">
        <f>SUM(F9:H9)</f>
        <v>0</v>
      </c>
      <c r="F9" s="634">
        <f>SUM(F10:F12)</f>
        <v>0</v>
      </c>
      <c r="G9" s="635">
        <f t="shared" ref="G9:Q9" si="2">SUM(G10:G12)</f>
        <v>0</v>
      </c>
      <c r="H9" s="636">
        <f t="shared" si="2"/>
        <v>0</v>
      </c>
      <c r="I9" s="632">
        <f t="shared" ref="I9:I30" si="3">SUM(J9:L9)</f>
        <v>0</v>
      </c>
      <c r="J9" s="634">
        <f t="shared" si="2"/>
        <v>0</v>
      </c>
      <c r="K9" s="635">
        <f t="shared" si="2"/>
        <v>0</v>
      </c>
      <c r="L9" s="636">
        <f t="shared" si="2"/>
        <v>0</v>
      </c>
      <c r="M9" s="637">
        <f t="shared" si="2"/>
        <v>0</v>
      </c>
      <c r="N9" s="632">
        <f t="shared" ref="N9:N72" si="4">+O9+P9</f>
        <v>0</v>
      </c>
      <c r="O9" s="637">
        <f>SUM(O10:O12)</f>
        <v>0</v>
      </c>
      <c r="P9" s="636">
        <f t="shared" si="2"/>
        <v>0</v>
      </c>
      <c r="Q9" s="633">
        <f t="shared" si="2"/>
        <v>0</v>
      </c>
      <c r="R9" s="131"/>
      <c r="S9" s="131"/>
      <c r="T9" s="131"/>
      <c r="U9" s="131"/>
    </row>
    <row r="10" spans="1:21">
      <c r="A10" s="608"/>
      <c r="B10" s="638" t="s">
        <v>95</v>
      </c>
      <c r="C10" s="639" t="s">
        <v>8</v>
      </c>
      <c r="D10" s="632">
        <f t="shared" si="1"/>
        <v>0</v>
      </c>
      <c r="E10" s="633">
        <f t="shared" ref="E10:E72" si="5">SUM(F10:H10)</f>
        <v>0</v>
      </c>
      <c r="F10" s="640">
        <f t="shared" ref="F10:H12" si="6">SUM(F33,F56,F96)</f>
        <v>0</v>
      </c>
      <c r="G10" s="641">
        <f t="shared" si="6"/>
        <v>0</v>
      </c>
      <c r="H10" s="642">
        <f t="shared" si="6"/>
        <v>0</v>
      </c>
      <c r="I10" s="632">
        <f t="shared" si="3"/>
        <v>0</v>
      </c>
      <c r="J10" s="640">
        <f t="shared" ref="J10:Q12" si="7">SUM(J33,J56,J96)</f>
        <v>0</v>
      </c>
      <c r="K10" s="641">
        <f t="shared" si="7"/>
        <v>0</v>
      </c>
      <c r="L10" s="642">
        <f t="shared" si="7"/>
        <v>0</v>
      </c>
      <c r="M10" s="643">
        <f t="shared" si="7"/>
        <v>0</v>
      </c>
      <c r="N10" s="644">
        <f t="shared" si="4"/>
        <v>0</v>
      </c>
      <c r="O10" s="643">
        <f>SUM(O33,O56,O96)</f>
        <v>0</v>
      </c>
      <c r="P10" s="642">
        <f t="shared" si="7"/>
        <v>0</v>
      </c>
      <c r="Q10" s="645">
        <f t="shared" si="7"/>
        <v>0</v>
      </c>
      <c r="R10" s="131"/>
      <c r="S10" s="131"/>
      <c r="T10" s="131"/>
      <c r="U10" s="131"/>
    </row>
    <row r="11" spans="1:21">
      <c r="A11" s="608"/>
      <c r="B11" s="638" t="s">
        <v>97</v>
      </c>
      <c r="C11" s="639" t="s">
        <v>9</v>
      </c>
      <c r="D11" s="632">
        <f t="shared" si="1"/>
        <v>0</v>
      </c>
      <c r="E11" s="633">
        <f t="shared" si="5"/>
        <v>0</v>
      </c>
      <c r="F11" s="640">
        <f t="shared" si="6"/>
        <v>0</v>
      </c>
      <c r="G11" s="641">
        <f t="shared" si="6"/>
        <v>0</v>
      </c>
      <c r="H11" s="642">
        <f t="shared" si="6"/>
        <v>0</v>
      </c>
      <c r="I11" s="632">
        <f t="shared" si="3"/>
        <v>0</v>
      </c>
      <c r="J11" s="640">
        <f t="shared" si="7"/>
        <v>0</v>
      </c>
      <c r="K11" s="641">
        <f t="shared" si="7"/>
        <v>0</v>
      </c>
      <c r="L11" s="642">
        <f t="shared" si="7"/>
        <v>0</v>
      </c>
      <c r="M11" s="643">
        <f t="shared" si="7"/>
        <v>0</v>
      </c>
      <c r="N11" s="644">
        <f t="shared" si="4"/>
        <v>0</v>
      </c>
      <c r="O11" s="643">
        <f>SUM(O34,O57,O97)</f>
        <v>0</v>
      </c>
      <c r="P11" s="642">
        <f t="shared" si="7"/>
        <v>0</v>
      </c>
      <c r="Q11" s="645">
        <f t="shared" si="7"/>
        <v>0</v>
      </c>
      <c r="R11" s="131"/>
      <c r="S11" s="131"/>
      <c r="T11" s="131"/>
      <c r="U11" s="131"/>
    </row>
    <row r="12" spans="1:21">
      <c r="A12" s="608"/>
      <c r="B12" s="638" t="s">
        <v>588</v>
      </c>
      <c r="C12" s="639" t="s">
        <v>11</v>
      </c>
      <c r="D12" s="632">
        <f t="shared" si="1"/>
        <v>0</v>
      </c>
      <c r="E12" s="633">
        <f t="shared" si="5"/>
        <v>0</v>
      </c>
      <c r="F12" s="640">
        <f t="shared" si="6"/>
        <v>0</v>
      </c>
      <c r="G12" s="641">
        <f t="shared" si="6"/>
        <v>0</v>
      </c>
      <c r="H12" s="642">
        <f t="shared" si="6"/>
        <v>0</v>
      </c>
      <c r="I12" s="632">
        <f t="shared" si="3"/>
        <v>0</v>
      </c>
      <c r="J12" s="640">
        <f t="shared" si="7"/>
        <v>0</v>
      </c>
      <c r="K12" s="641">
        <f t="shared" si="7"/>
        <v>0</v>
      </c>
      <c r="L12" s="642">
        <f t="shared" si="7"/>
        <v>0</v>
      </c>
      <c r="M12" s="643">
        <f t="shared" si="7"/>
        <v>0</v>
      </c>
      <c r="N12" s="644">
        <f t="shared" si="4"/>
        <v>0</v>
      </c>
      <c r="O12" s="643">
        <f>SUM(O35,O58,O98)</f>
        <v>0</v>
      </c>
      <c r="P12" s="642">
        <f t="shared" si="7"/>
        <v>0</v>
      </c>
      <c r="Q12" s="645">
        <f t="shared" si="7"/>
        <v>0</v>
      </c>
      <c r="R12" s="131"/>
      <c r="S12" s="131"/>
      <c r="T12" s="131"/>
      <c r="U12" s="131"/>
    </row>
    <row r="13" spans="1:21">
      <c r="A13" s="608"/>
      <c r="B13" s="630" t="s">
        <v>99</v>
      </c>
      <c r="C13" s="646" t="s">
        <v>13</v>
      </c>
      <c r="D13" s="632">
        <f t="shared" si="1"/>
        <v>9690.3758852999981</v>
      </c>
      <c r="E13" s="633">
        <f t="shared" si="5"/>
        <v>2866.5561328971462</v>
      </c>
      <c r="F13" s="634">
        <f>SUM(F14:F17)</f>
        <v>221.22541027687814</v>
      </c>
      <c r="G13" s="635">
        <f>SUM(G14:G17)</f>
        <v>952.7058460530418</v>
      </c>
      <c r="H13" s="636">
        <f>SUM(H14:H17)</f>
        <v>1692.6248765672262</v>
      </c>
      <c r="I13" s="632">
        <f t="shared" si="3"/>
        <v>6815.8613021966585</v>
      </c>
      <c r="J13" s="634">
        <f t="shared" ref="J13:Q13" si="8">SUM(J14:J17)</f>
        <v>3257.1942488319455</v>
      </c>
      <c r="K13" s="635">
        <f t="shared" si="8"/>
        <v>3519.1636810206824</v>
      </c>
      <c r="L13" s="636">
        <f t="shared" si="8"/>
        <v>39.503372344031206</v>
      </c>
      <c r="M13" s="637">
        <f t="shared" si="8"/>
        <v>0.40308241046445847</v>
      </c>
      <c r="N13" s="632">
        <f t="shared" si="4"/>
        <v>4.1682347083231095</v>
      </c>
      <c r="O13" s="637">
        <f>SUM(O14:O17)</f>
        <v>4.1682347083231095</v>
      </c>
      <c r="P13" s="636">
        <f t="shared" si="8"/>
        <v>0</v>
      </c>
      <c r="Q13" s="633">
        <f t="shared" si="8"/>
        <v>3.3871330874067063</v>
      </c>
      <c r="R13" s="131"/>
      <c r="S13" s="131"/>
      <c r="T13" s="131"/>
      <c r="U13" s="131"/>
    </row>
    <row r="14" spans="1:21">
      <c r="A14" s="608"/>
      <c r="B14" s="638" t="s">
        <v>101</v>
      </c>
      <c r="C14" s="639" t="s">
        <v>15</v>
      </c>
      <c r="D14" s="632">
        <f t="shared" si="1"/>
        <v>169.40664999999998</v>
      </c>
      <c r="E14" s="633">
        <f t="shared" si="5"/>
        <v>56.481774799957691</v>
      </c>
      <c r="F14" s="640">
        <f t="shared" ref="F14:H17" si="9">SUM(F37,F60,F100)</f>
        <v>25.217030144458693</v>
      </c>
      <c r="G14" s="641">
        <f t="shared" si="9"/>
        <v>6.3308331403575648</v>
      </c>
      <c r="H14" s="642">
        <f t="shared" si="9"/>
        <v>24.933911515141432</v>
      </c>
      <c r="I14" s="632">
        <f t="shared" si="3"/>
        <v>105.39047378778227</v>
      </c>
      <c r="J14" s="640">
        <f t="shared" ref="J14:Q17" si="10">SUM(J37,J60,J100)</f>
        <v>44.594550199297295</v>
      </c>
      <c r="K14" s="641">
        <f t="shared" si="10"/>
        <v>48.696284586792956</v>
      </c>
      <c r="L14" s="642">
        <f t="shared" si="10"/>
        <v>12.099639001692029</v>
      </c>
      <c r="M14" s="643">
        <f t="shared" si="10"/>
        <v>0.38162187817904664</v>
      </c>
      <c r="N14" s="644">
        <f t="shared" si="4"/>
        <v>3.9459809814745648</v>
      </c>
      <c r="O14" s="643">
        <f>SUM(O37,O60,O100)</f>
        <v>3.9459809814745648</v>
      </c>
      <c r="P14" s="636">
        <f t="shared" si="10"/>
        <v>0</v>
      </c>
      <c r="Q14" s="633">
        <f t="shared" si="10"/>
        <v>3.2067985526064393</v>
      </c>
      <c r="R14" s="131"/>
      <c r="S14" s="131"/>
      <c r="T14" s="131"/>
      <c r="U14" s="131"/>
    </row>
    <row r="15" spans="1:21">
      <c r="A15" s="608"/>
      <c r="B15" s="638" t="s">
        <v>107</v>
      </c>
      <c r="C15" s="639" t="s">
        <v>589</v>
      </c>
      <c r="D15" s="632">
        <f t="shared" si="1"/>
        <v>21.197140000000005</v>
      </c>
      <c r="E15" s="633">
        <f t="shared" si="5"/>
        <v>18.858055948661455</v>
      </c>
      <c r="F15" s="640">
        <f t="shared" si="9"/>
        <v>18.086389300809802</v>
      </c>
      <c r="G15" s="641">
        <f t="shared" si="9"/>
        <v>0.14344656584595536</v>
      </c>
      <c r="H15" s="642">
        <f t="shared" si="9"/>
        <v>0.62822008200569623</v>
      </c>
      <c r="I15" s="632">
        <f t="shared" si="3"/>
        <v>2.3388165057469377</v>
      </c>
      <c r="J15" s="640">
        <f t="shared" si="10"/>
        <v>1.5149309456765563</v>
      </c>
      <c r="K15" s="641">
        <f t="shared" si="10"/>
        <v>0.51451794470587375</v>
      </c>
      <c r="L15" s="642">
        <f t="shared" si="10"/>
        <v>0.3093676153645078</v>
      </c>
      <c r="M15" s="643">
        <f t="shared" si="10"/>
        <v>0</v>
      </c>
      <c r="N15" s="644">
        <f t="shared" si="4"/>
        <v>2.6754559161187196E-4</v>
      </c>
      <c r="O15" s="643">
        <f>SUM(O38,O61,O101)</f>
        <v>2.6754559161187196E-4</v>
      </c>
      <c r="P15" s="636">
        <f t="shared" si="10"/>
        <v>0</v>
      </c>
      <c r="Q15" s="633">
        <f t="shared" si="10"/>
        <v>0</v>
      </c>
      <c r="R15" s="131"/>
      <c r="S15" s="131"/>
      <c r="T15" s="131"/>
      <c r="U15" s="131"/>
    </row>
    <row r="16" spans="1:21">
      <c r="A16" s="608"/>
      <c r="B16" s="638" t="s">
        <v>114</v>
      </c>
      <c r="C16" s="639" t="s">
        <v>21</v>
      </c>
      <c r="D16" s="632">
        <f t="shared" si="1"/>
        <v>3588.0772044</v>
      </c>
      <c r="E16" s="633">
        <f t="shared" si="5"/>
        <v>1570.33103505588</v>
      </c>
      <c r="F16" s="640">
        <f t="shared" si="9"/>
        <v>0</v>
      </c>
      <c r="G16" s="641">
        <f t="shared" si="9"/>
        <v>0</v>
      </c>
      <c r="H16" s="642">
        <f t="shared" si="9"/>
        <v>1570.33103505588</v>
      </c>
      <c r="I16" s="632">
        <f t="shared" si="3"/>
        <v>2017.7461693441201</v>
      </c>
      <c r="J16" s="640">
        <f t="shared" si="10"/>
        <v>2017.7461693441201</v>
      </c>
      <c r="K16" s="641">
        <f t="shared" si="10"/>
        <v>0</v>
      </c>
      <c r="L16" s="642">
        <f t="shared" si="10"/>
        <v>0</v>
      </c>
      <c r="M16" s="643">
        <f t="shared" si="10"/>
        <v>0</v>
      </c>
      <c r="N16" s="644">
        <f t="shared" si="4"/>
        <v>0</v>
      </c>
      <c r="O16" s="643">
        <f>SUM(O39,O62,O102)</f>
        <v>0</v>
      </c>
      <c r="P16" s="636">
        <f t="shared" si="10"/>
        <v>0</v>
      </c>
      <c r="Q16" s="633">
        <f t="shared" si="10"/>
        <v>0</v>
      </c>
      <c r="R16" s="131"/>
      <c r="S16" s="131"/>
      <c r="T16" s="131"/>
      <c r="U16" s="131"/>
    </row>
    <row r="17" spans="1:21" ht="39.6">
      <c r="A17" s="608"/>
      <c r="B17" s="638" t="s">
        <v>590</v>
      </c>
      <c r="C17" s="639" t="s">
        <v>591</v>
      </c>
      <c r="D17" s="632">
        <f t="shared" si="1"/>
        <v>5911.6948908999984</v>
      </c>
      <c r="E17" s="633">
        <f t="shared" si="5"/>
        <v>1220.8852670926472</v>
      </c>
      <c r="F17" s="640">
        <f t="shared" si="9"/>
        <v>177.92199083160963</v>
      </c>
      <c r="G17" s="641">
        <f t="shared" si="9"/>
        <v>946.23156634683824</v>
      </c>
      <c r="H17" s="642">
        <f t="shared" si="9"/>
        <v>96.731709914199314</v>
      </c>
      <c r="I17" s="632">
        <f t="shared" si="3"/>
        <v>4690.3858425590097</v>
      </c>
      <c r="J17" s="640">
        <f t="shared" si="10"/>
        <v>1193.3385983428514</v>
      </c>
      <c r="K17" s="641">
        <f t="shared" si="10"/>
        <v>3469.9528784891836</v>
      </c>
      <c r="L17" s="642">
        <f t="shared" si="10"/>
        <v>27.094365726974672</v>
      </c>
      <c r="M17" s="643">
        <f t="shared" si="10"/>
        <v>2.1460532285411862E-2</v>
      </c>
      <c r="N17" s="644">
        <f t="shared" si="4"/>
        <v>0.22198618125693292</v>
      </c>
      <c r="O17" s="643">
        <f>SUM(O40,O63,O103)</f>
        <v>0.22198618125693292</v>
      </c>
      <c r="P17" s="636">
        <f t="shared" si="10"/>
        <v>0</v>
      </c>
      <c r="Q17" s="633">
        <f t="shared" si="10"/>
        <v>0.18033453480026693</v>
      </c>
      <c r="R17" s="131"/>
      <c r="S17" s="131"/>
      <c r="T17" s="131"/>
      <c r="U17" s="131"/>
    </row>
    <row r="18" spans="1:21">
      <c r="A18" s="608"/>
      <c r="B18" s="630" t="s">
        <v>121</v>
      </c>
      <c r="C18" s="647" t="s">
        <v>25</v>
      </c>
      <c r="D18" s="632">
        <f t="shared" si="1"/>
        <v>70.731309999999993</v>
      </c>
      <c r="E18" s="633">
        <f t="shared" si="5"/>
        <v>2.1111165380295418</v>
      </c>
      <c r="F18" s="634">
        <f>SUM(F19:F20)</f>
        <v>0.59598436154909373</v>
      </c>
      <c r="G18" s="635">
        <f t="shared" ref="G18:Q18" si="11">SUM(G19:G20)</f>
        <v>5.8887235134287515E-2</v>
      </c>
      <c r="H18" s="636">
        <f t="shared" si="11"/>
        <v>1.4562449413461604</v>
      </c>
      <c r="I18" s="632">
        <f t="shared" si="3"/>
        <v>68.620083629991768</v>
      </c>
      <c r="J18" s="634">
        <f t="shared" si="11"/>
        <v>49.266344709144896</v>
      </c>
      <c r="K18" s="635">
        <f t="shared" si="11"/>
        <v>19.226738295900105</v>
      </c>
      <c r="L18" s="636">
        <f t="shared" si="11"/>
        <v>0.12700062494676487</v>
      </c>
      <c r="M18" s="637">
        <f t="shared" si="11"/>
        <v>0</v>
      </c>
      <c r="N18" s="632">
        <f t="shared" si="4"/>
        <v>1.0983197868472777E-4</v>
      </c>
      <c r="O18" s="637">
        <f>SUM(O19:O20)</f>
        <v>1.0983197868472777E-4</v>
      </c>
      <c r="P18" s="636">
        <f t="shared" si="11"/>
        <v>0</v>
      </c>
      <c r="Q18" s="633">
        <f t="shared" si="11"/>
        <v>0</v>
      </c>
      <c r="R18" s="131"/>
      <c r="S18" s="131"/>
      <c r="T18" s="131"/>
      <c r="U18" s="131"/>
    </row>
    <row r="19" spans="1:21" ht="53.4">
      <c r="A19" s="608"/>
      <c r="B19" s="638" t="s">
        <v>123</v>
      </c>
      <c r="C19" s="648" t="s">
        <v>592</v>
      </c>
      <c r="D19" s="632">
        <f t="shared" si="1"/>
        <v>55.917049999999996</v>
      </c>
      <c r="E19" s="633">
        <f t="shared" si="5"/>
        <v>2.1111165380295418</v>
      </c>
      <c r="F19" s="640">
        <f>SUM(F42,F65,F105)</f>
        <v>0.59598436154909373</v>
      </c>
      <c r="G19" s="641">
        <f>SUM(G42,G65,G105)</f>
        <v>5.8887235134287515E-2</v>
      </c>
      <c r="H19" s="642">
        <f>SUM(H42,H65,H105)</f>
        <v>1.4562449413461604</v>
      </c>
      <c r="I19" s="632">
        <f t="shared" si="3"/>
        <v>53.805823629991771</v>
      </c>
      <c r="J19" s="640">
        <f t="shared" ref="J19:Q19" si="12">SUM(J42,J65,J105)</f>
        <v>39.069604709144897</v>
      </c>
      <c r="K19" s="641">
        <f t="shared" si="12"/>
        <v>14.609218295900106</v>
      </c>
      <c r="L19" s="642">
        <f t="shared" si="12"/>
        <v>0.12700062494676487</v>
      </c>
      <c r="M19" s="643">
        <f t="shared" si="12"/>
        <v>0</v>
      </c>
      <c r="N19" s="644">
        <f t="shared" si="4"/>
        <v>1.0983197868472777E-4</v>
      </c>
      <c r="O19" s="643">
        <f>SUM(O42,O65,O105)</f>
        <v>1.0983197868472777E-4</v>
      </c>
      <c r="P19" s="636">
        <f t="shared" si="12"/>
        <v>0</v>
      </c>
      <c r="Q19" s="633">
        <f t="shared" si="12"/>
        <v>0</v>
      </c>
      <c r="R19" s="131"/>
      <c r="S19" s="131"/>
      <c r="T19" s="131"/>
      <c r="U19" s="131"/>
    </row>
    <row r="20" spans="1:21">
      <c r="A20" s="608"/>
      <c r="B20" s="638" t="s">
        <v>125</v>
      </c>
      <c r="C20" s="648" t="s">
        <v>29</v>
      </c>
      <c r="D20" s="632">
        <f t="shared" si="1"/>
        <v>14.814260000000001</v>
      </c>
      <c r="E20" s="633">
        <f t="shared" si="5"/>
        <v>0</v>
      </c>
      <c r="F20" s="640">
        <f>SUM(F43,F66)</f>
        <v>0</v>
      </c>
      <c r="G20" s="641">
        <f>SUM(G43,G66)</f>
        <v>0</v>
      </c>
      <c r="H20" s="642">
        <f>SUM(H43,H66)</f>
        <v>0</v>
      </c>
      <c r="I20" s="632">
        <f t="shared" si="3"/>
        <v>14.814260000000001</v>
      </c>
      <c r="J20" s="640">
        <f t="shared" ref="J20:Q20" si="13">SUM(J43,J66)</f>
        <v>10.19674</v>
      </c>
      <c r="K20" s="641">
        <f t="shared" si="13"/>
        <v>4.6175200000000007</v>
      </c>
      <c r="L20" s="642">
        <f t="shared" si="13"/>
        <v>0</v>
      </c>
      <c r="M20" s="643">
        <f t="shared" si="13"/>
        <v>0</v>
      </c>
      <c r="N20" s="644">
        <f t="shared" si="4"/>
        <v>0</v>
      </c>
      <c r="O20" s="643">
        <f>SUM(O43,O66)</f>
        <v>0</v>
      </c>
      <c r="P20" s="636">
        <f t="shared" si="13"/>
        <v>0</v>
      </c>
      <c r="Q20" s="633">
        <f t="shared" si="13"/>
        <v>0</v>
      </c>
      <c r="R20" s="131"/>
      <c r="S20" s="131"/>
      <c r="T20" s="131"/>
      <c r="U20" s="131"/>
    </row>
    <row r="21" spans="1:21">
      <c r="A21" s="608"/>
      <c r="B21" s="630" t="s">
        <v>265</v>
      </c>
      <c r="C21" s="647" t="s">
        <v>31</v>
      </c>
      <c r="D21" s="632">
        <f t="shared" si="1"/>
        <v>21.52047000000001</v>
      </c>
      <c r="E21" s="633">
        <f t="shared" si="5"/>
        <v>3.4411956268903379</v>
      </c>
      <c r="F21" s="634">
        <f>SUM(F22:F23)</f>
        <v>0.13549503369168917</v>
      </c>
      <c r="G21" s="635">
        <f t="shared" ref="G21:Q21" si="14">SUM(G22:G23)</f>
        <v>0.61450290631252502</v>
      </c>
      <c r="H21" s="636">
        <f t="shared" si="14"/>
        <v>2.6911976868861238</v>
      </c>
      <c r="I21" s="632">
        <f t="shared" si="3"/>
        <v>10.019128249166947</v>
      </c>
      <c r="J21" s="634">
        <f t="shared" si="14"/>
        <v>6.4897299108626552</v>
      </c>
      <c r="K21" s="635">
        <f t="shared" si="14"/>
        <v>2.2041153129538049</v>
      </c>
      <c r="L21" s="636">
        <f t="shared" si="14"/>
        <v>1.3252830253504859</v>
      </c>
      <c r="M21" s="637">
        <f t="shared" si="14"/>
        <v>0</v>
      </c>
      <c r="N21" s="632">
        <f t="shared" si="4"/>
        <v>8.0601461239427277</v>
      </c>
      <c r="O21" s="637">
        <f>SUM(O22:O23)</f>
        <v>8.0601461239427277</v>
      </c>
      <c r="P21" s="636">
        <f t="shared" si="14"/>
        <v>0</v>
      </c>
      <c r="Q21" s="633">
        <f t="shared" si="14"/>
        <v>0</v>
      </c>
      <c r="R21" s="131"/>
      <c r="S21" s="131"/>
      <c r="T21" s="131"/>
      <c r="U21" s="131"/>
    </row>
    <row r="22" spans="1:21">
      <c r="A22" s="608"/>
      <c r="B22" s="649" t="s">
        <v>593</v>
      </c>
      <c r="C22" s="648" t="s">
        <v>594</v>
      </c>
      <c r="D22" s="632">
        <f t="shared" si="1"/>
        <v>8.0590000000000099</v>
      </c>
      <c r="E22" s="650">
        <f t="shared" si="5"/>
        <v>0</v>
      </c>
      <c r="F22" s="651">
        <f t="shared" ref="F22:H23" si="15">SUM(F45,F68,F107)</f>
        <v>0</v>
      </c>
      <c r="G22" s="652">
        <f t="shared" si="15"/>
        <v>0</v>
      </c>
      <c r="H22" s="653">
        <f t="shared" si="15"/>
        <v>0</v>
      </c>
      <c r="I22" s="654">
        <f t="shared" si="3"/>
        <v>0</v>
      </c>
      <c r="J22" s="651">
        <f t="shared" ref="J22:Q23" si="16">SUM(J45,J68,J107)</f>
        <v>0</v>
      </c>
      <c r="K22" s="652">
        <f t="shared" si="16"/>
        <v>0</v>
      </c>
      <c r="L22" s="653">
        <f t="shared" si="16"/>
        <v>0</v>
      </c>
      <c r="M22" s="655">
        <f t="shared" si="16"/>
        <v>0</v>
      </c>
      <c r="N22" s="364">
        <f t="shared" si="4"/>
        <v>8.0590000000000099</v>
      </c>
      <c r="O22" s="643">
        <f>SUM(O45,O68,O107)</f>
        <v>8.0590000000000099</v>
      </c>
      <c r="P22" s="653">
        <f t="shared" si="16"/>
        <v>0</v>
      </c>
      <c r="Q22" s="656">
        <f t="shared" si="16"/>
        <v>0</v>
      </c>
      <c r="R22" s="131"/>
      <c r="S22" s="131"/>
      <c r="T22" s="131"/>
      <c r="U22" s="131"/>
    </row>
    <row r="23" spans="1:21" ht="27">
      <c r="A23" s="608"/>
      <c r="B23" s="649" t="s">
        <v>595</v>
      </c>
      <c r="C23" s="657" t="s">
        <v>596</v>
      </c>
      <c r="D23" s="632">
        <f t="shared" si="1"/>
        <v>13.461470000000002</v>
      </c>
      <c r="E23" s="650">
        <f t="shared" si="5"/>
        <v>3.4411956268903379</v>
      </c>
      <c r="F23" s="651">
        <f t="shared" si="15"/>
        <v>0.13549503369168917</v>
      </c>
      <c r="G23" s="652">
        <f t="shared" si="15"/>
        <v>0.61450290631252502</v>
      </c>
      <c r="H23" s="653">
        <f t="shared" si="15"/>
        <v>2.6911976868861238</v>
      </c>
      <c r="I23" s="654">
        <f t="shared" si="3"/>
        <v>10.019128249166947</v>
      </c>
      <c r="J23" s="651">
        <f t="shared" si="16"/>
        <v>6.4897299108626552</v>
      </c>
      <c r="K23" s="652">
        <f t="shared" si="16"/>
        <v>2.2041153129538049</v>
      </c>
      <c r="L23" s="653">
        <f t="shared" si="16"/>
        <v>1.3252830253504859</v>
      </c>
      <c r="M23" s="655">
        <f t="shared" si="16"/>
        <v>0</v>
      </c>
      <c r="N23" s="364">
        <f t="shared" si="4"/>
        <v>1.1461239427171333E-3</v>
      </c>
      <c r="O23" s="643">
        <f>SUM(O46,O69,O108)</f>
        <v>1.1461239427171333E-3</v>
      </c>
      <c r="P23" s="653">
        <f t="shared" si="16"/>
        <v>0</v>
      </c>
      <c r="Q23" s="656">
        <f t="shared" si="16"/>
        <v>0</v>
      </c>
      <c r="R23" s="131"/>
      <c r="S23" s="131"/>
      <c r="T23" s="131"/>
      <c r="U23" s="131"/>
    </row>
    <row r="24" spans="1:21">
      <c r="A24" s="608"/>
      <c r="B24" s="630" t="s">
        <v>267</v>
      </c>
      <c r="C24" s="658" t="s">
        <v>37</v>
      </c>
      <c r="D24" s="659">
        <f t="shared" si="1"/>
        <v>98.037189999999995</v>
      </c>
      <c r="E24" s="660">
        <f t="shared" si="5"/>
        <v>18.617712168735544</v>
      </c>
      <c r="F24" s="661">
        <f>SUM(F25:F26)</f>
        <v>2.2811767460136605</v>
      </c>
      <c r="G24" s="662">
        <f>SUM(G25:G26)</f>
        <v>3.0368293235614416</v>
      </c>
      <c r="H24" s="663">
        <f>SUM(H25:H26)</f>
        <v>13.29970609916044</v>
      </c>
      <c r="I24" s="664">
        <f t="shared" si="3"/>
        <v>79.413813768878541</v>
      </c>
      <c r="J24" s="661">
        <f t="shared" ref="J24:Q24" si="17">SUM(J25:J26)</f>
        <v>61.971780121538202</v>
      </c>
      <c r="K24" s="662">
        <f t="shared" si="17"/>
        <v>10.89257991480469</v>
      </c>
      <c r="L24" s="663">
        <f t="shared" si="17"/>
        <v>6.5494537325356594</v>
      </c>
      <c r="M24" s="665">
        <f t="shared" si="17"/>
        <v>0</v>
      </c>
      <c r="N24" s="664">
        <f t="shared" si="4"/>
        <v>5.6640623859134098E-3</v>
      </c>
      <c r="O24" s="665">
        <f>SUM(O25:O26)</f>
        <v>5.6640623859134098E-3</v>
      </c>
      <c r="P24" s="663">
        <f t="shared" si="17"/>
        <v>0</v>
      </c>
      <c r="Q24" s="660">
        <f t="shared" si="17"/>
        <v>0</v>
      </c>
      <c r="R24" s="131"/>
      <c r="S24" s="131"/>
      <c r="T24" s="131"/>
      <c r="U24" s="131"/>
    </row>
    <row r="25" spans="1:21">
      <c r="A25" s="608"/>
      <c r="B25" s="666" t="s">
        <v>269</v>
      </c>
      <c r="C25" s="667" t="s">
        <v>39</v>
      </c>
      <c r="D25" s="668">
        <f t="shared" si="1"/>
        <v>17.550000000000004</v>
      </c>
      <c r="E25" s="669">
        <f t="shared" si="5"/>
        <v>4.4863587150530693</v>
      </c>
      <c r="F25" s="670">
        <f t="shared" ref="F25:H26" si="18">SUM(F48,F71,F110)</f>
        <v>0.17664770944697306</v>
      </c>
      <c r="G25" s="671">
        <f t="shared" si="18"/>
        <v>0.8011402919432139</v>
      </c>
      <c r="H25" s="672">
        <f t="shared" si="18"/>
        <v>3.5085707136628823</v>
      </c>
      <c r="I25" s="407">
        <f t="shared" si="3"/>
        <v>13.06214705919041</v>
      </c>
      <c r="J25" s="670">
        <f t="shared" ref="J25:Q26" si="19">SUM(J48,J71,J110)</f>
        <v>8.460796624413204</v>
      </c>
      <c r="K25" s="671">
        <f t="shared" si="19"/>
        <v>2.8735512349200554</v>
      </c>
      <c r="L25" s="672">
        <f t="shared" si="19"/>
        <v>1.7277991998571502</v>
      </c>
      <c r="M25" s="673">
        <f t="shared" si="19"/>
        <v>0</v>
      </c>
      <c r="N25" s="513">
        <f t="shared" si="4"/>
        <v>1.4942257565247847E-3</v>
      </c>
      <c r="O25" s="643">
        <f>SUM(O48,O71,O110)</f>
        <v>1.4942257565247847E-3</v>
      </c>
      <c r="P25" s="672">
        <f t="shared" si="19"/>
        <v>0</v>
      </c>
      <c r="Q25" s="674">
        <f t="shared" si="19"/>
        <v>0</v>
      </c>
      <c r="R25" s="131"/>
      <c r="S25" s="131"/>
      <c r="T25" s="131"/>
      <c r="U25" s="131"/>
    </row>
    <row r="26" spans="1:21" ht="27">
      <c r="A26" s="608"/>
      <c r="B26" s="666" t="s">
        <v>271</v>
      </c>
      <c r="C26" s="675" t="s">
        <v>41</v>
      </c>
      <c r="D26" s="659">
        <f t="shared" si="1"/>
        <v>80.487190000000012</v>
      </c>
      <c r="E26" s="660">
        <f t="shared" si="5"/>
        <v>14.131353453682474</v>
      </c>
      <c r="F26" s="510">
        <f t="shared" si="18"/>
        <v>2.1045290365666873</v>
      </c>
      <c r="G26" s="511">
        <f t="shared" si="18"/>
        <v>2.2356890316182279</v>
      </c>
      <c r="H26" s="512">
        <f t="shared" si="18"/>
        <v>9.791135385497558</v>
      </c>
      <c r="I26" s="664">
        <f t="shared" si="3"/>
        <v>66.351666709688146</v>
      </c>
      <c r="J26" s="510">
        <f t="shared" si="19"/>
        <v>53.510983497124997</v>
      </c>
      <c r="K26" s="511">
        <f t="shared" si="19"/>
        <v>8.0190286798846344</v>
      </c>
      <c r="L26" s="512">
        <f t="shared" si="19"/>
        <v>4.821654532678509</v>
      </c>
      <c r="M26" s="676">
        <f t="shared" si="19"/>
        <v>0</v>
      </c>
      <c r="N26" s="364">
        <f t="shared" si="4"/>
        <v>4.1698366293886251E-3</v>
      </c>
      <c r="O26" s="643">
        <f>SUM(O49,O72,O111)</f>
        <v>4.1698366293886251E-3</v>
      </c>
      <c r="P26" s="512">
        <f t="shared" si="19"/>
        <v>0</v>
      </c>
      <c r="Q26" s="509">
        <f t="shared" si="19"/>
        <v>0</v>
      </c>
      <c r="R26" s="131"/>
      <c r="S26" s="131"/>
      <c r="T26" s="131"/>
      <c r="U26" s="131"/>
    </row>
    <row r="27" spans="1:21">
      <c r="A27" s="608"/>
      <c r="B27" s="677" t="s">
        <v>275</v>
      </c>
      <c r="C27" s="678" t="s">
        <v>597</v>
      </c>
      <c r="D27" s="659">
        <f t="shared" si="1"/>
        <v>0</v>
      </c>
      <c r="E27" s="660">
        <f t="shared" si="5"/>
        <v>0</v>
      </c>
      <c r="F27" s="661">
        <f>SUM(F28:F30)</f>
        <v>0</v>
      </c>
      <c r="G27" s="662">
        <f t="shared" ref="G27:Q27" si="20">SUM(G28:G30)</f>
        <v>0</v>
      </c>
      <c r="H27" s="663">
        <f t="shared" si="20"/>
        <v>0</v>
      </c>
      <c r="I27" s="664">
        <f t="shared" si="3"/>
        <v>0</v>
      </c>
      <c r="J27" s="661">
        <f t="shared" si="20"/>
        <v>0</v>
      </c>
      <c r="K27" s="662">
        <f t="shared" si="20"/>
        <v>0</v>
      </c>
      <c r="L27" s="663">
        <f t="shared" si="20"/>
        <v>0</v>
      </c>
      <c r="M27" s="665">
        <f t="shared" si="20"/>
        <v>0</v>
      </c>
      <c r="N27" s="664">
        <f t="shared" si="4"/>
        <v>0</v>
      </c>
      <c r="O27" s="665">
        <f>SUM(O28:O30)</f>
        <v>0</v>
      </c>
      <c r="P27" s="663">
        <f t="shared" si="20"/>
        <v>0</v>
      </c>
      <c r="Q27" s="660">
        <f t="shared" si="20"/>
        <v>0</v>
      </c>
      <c r="R27" s="131"/>
      <c r="S27" s="131"/>
      <c r="T27" s="131"/>
      <c r="U27" s="131"/>
    </row>
    <row r="28" spans="1:21">
      <c r="A28" s="608"/>
      <c r="B28" s="679" t="s">
        <v>277</v>
      </c>
      <c r="C28" s="675" t="s">
        <v>1352</v>
      </c>
      <c r="D28" s="659">
        <f t="shared" si="1"/>
        <v>0</v>
      </c>
      <c r="E28" s="660">
        <f t="shared" si="5"/>
        <v>0</v>
      </c>
      <c r="F28" s="510">
        <f t="shared" ref="F28:H30" si="21">SUM(F51,F74,F113)</f>
        <v>0</v>
      </c>
      <c r="G28" s="511">
        <f t="shared" si="21"/>
        <v>0</v>
      </c>
      <c r="H28" s="512">
        <f t="shared" si="21"/>
        <v>0</v>
      </c>
      <c r="I28" s="664">
        <f t="shared" si="3"/>
        <v>0</v>
      </c>
      <c r="J28" s="510">
        <f t="shared" ref="J28:Q30" si="22">SUM(J51,J74,J113)</f>
        <v>0</v>
      </c>
      <c r="K28" s="511">
        <f t="shared" si="22"/>
        <v>0</v>
      </c>
      <c r="L28" s="512">
        <f t="shared" si="22"/>
        <v>0</v>
      </c>
      <c r="M28" s="676">
        <f t="shared" si="22"/>
        <v>0</v>
      </c>
      <c r="N28" s="513">
        <f t="shared" si="4"/>
        <v>0</v>
      </c>
      <c r="O28" s="676">
        <f>SUM(O51,O74,O113)</f>
        <v>0</v>
      </c>
      <c r="P28" s="512">
        <f t="shared" si="22"/>
        <v>0</v>
      </c>
      <c r="Q28" s="509">
        <f t="shared" si="22"/>
        <v>0</v>
      </c>
      <c r="R28" s="131"/>
      <c r="S28" s="131"/>
      <c r="T28" s="131"/>
      <c r="U28" s="131"/>
    </row>
    <row r="29" spans="1:21">
      <c r="A29" s="608"/>
      <c r="B29" s="679" t="s">
        <v>598</v>
      </c>
      <c r="C29" s="675" t="s">
        <v>1352</v>
      </c>
      <c r="D29" s="659">
        <f t="shared" si="1"/>
        <v>0</v>
      </c>
      <c r="E29" s="660">
        <f t="shared" si="5"/>
        <v>0</v>
      </c>
      <c r="F29" s="510">
        <f t="shared" si="21"/>
        <v>0</v>
      </c>
      <c r="G29" s="511">
        <f t="shared" si="21"/>
        <v>0</v>
      </c>
      <c r="H29" s="512">
        <f t="shared" si="21"/>
        <v>0</v>
      </c>
      <c r="I29" s="664">
        <f t="shared" si="3"/>
        <v>0</v>
      </c>
      <c r="J29" s="510">
        <f t="shared" si="22"/>
        <v>0</v>
      </c>
      <c r="K29" s="511">
        <f t="shared" si="22"/>
        <v>0</v>
      </c>
      <c r="L29" s="512">
        <f t="shared" si="22"/>
        <v>0</v>
      </c>
      <c r="M29" s="676">
        <f t="shared" si="22"/>
        <v>0</v>
      </c>
      <c r="N29" s="513">
        <f t="shared" si="4"/>
        <v>0</v>
      </c>
      <c r="O29" s="676">
        <f>SUM(O52,O75,O114)</f>
        <v>0</v>
      </c>
      <c r="P29" s="512">
        <f t="shared" si="22"/>
        <v>0</v>
      </c>
      <c r="Q29" s="509">
        <f t="shared" si="22"/>
        <v>0</v>
      </c>
      <c r="R29" s="131"/>
      <c r="S29" s="131"/>
      <c r="T29" s="131"/>
      <c r="U29" s="131"/>
    </row>
    <row r="30" spans="1:21" ht="15" thickBot="1">
      <c r="A30" s="608"/>
      <c r="B30" s="680" t="s">
        <v>599</v>
      </c>
      <c r="C30" s="681" t="s">
        <v>1352</v>
      </c>
      <c r="D30" s="682">
        <f t="shared" si="1"/>
        <v>0</v>
      </c>
      <c r="E30" s="683">
        <f t="shared" si="5"/>
        <v>0</v>
      </c>
      <c r="F30" s="684">
        <f t="shared" si="21"/>
        <v>0</v>
      </c>
      <c r="G30" s="685">
        <f t="shared" si="21"/>
        <v>0</v>
      </c>
      <c r="H30" s="686">
        <f t="shared" si="21"/>
        <v>0</v>
      </c>
      <c r="I30" s="687">
        <f t="shared" si="3"/>
        <v>0</v>
      </c>
      <c r="J30" s="684">
        <f t="shared" si="22"/>
        <v>0</v>
      </c>
      <c r="K30" s="685">
        <f t="shared" si="22"/>
        <v>0</v>
      </c>
      <c r="L30" s="686">
        <f t="shared" si="22"/>
        <v>0</v>
      </c>
      <c r="M30" s="688">
        <f t="shared" si="22"/>
        <v>0</v>
      </c>
      <c r="N30" s="689">
        <f t="shared" si="4"/>
        <v>0</v>
      </c>
      <c r="O30" s="688">
        <f>SUM(O53,O76,O115)</f>
        <v>0</v>
      </c>
      <c r="P30" s="686">
        <f t="shared" si="22"/>
        <v>0</v>
      </c>
      <c r="Q30" s="690">
        <f t="shared" si="22"/>
        <v>0</v>
      </c>
      <c r="R30" s="131"/>
      <c r="S30" s="131"/>
      <c r="T30" s="131"/>
      <c r="U30" s="131"/>
    </row>
    <row r="31" spans="1:21" ht="15.6" thickTop="1" thickBot="1">
      <c r="A31" s="608"/>
      <c r="B31" s="622" t="s">
        <v>50</v>
      </c>
      <c r="C31" s="623" t="s">
        <v>600</v>
      </c>
      <c r="D31" s="1310">
        <f t="shared" si="1"/>
        <v>9652.294555299999</v>
      </c>
      <c r="E31" s="625">
        <f>E32+E36+E41+E44+E47+E50</f>
        <v>2828.7806750558802</v>
      </c>
      <c r="F31" s="1311">
        <f t="shared" ref="F31:Q31" si="23">F32+F36+F41+F44+F47+F50</f>
        <v>216.28752000000003</v>
      </c>
      <c r="G31" s="1312">
        <f t="shared" si="23"/>
        <v>945.83068999999989</v>
      </c>
      <c r="H31" s="1313">
        <f t="shared" si="23"/>
        <v>1666.6624650558799</v>
      </c>
      <c r="I31" s="1314">
        <f t="shared" si="23"/>
        <v>6815.4548802441195</v>
      </c>
      <c r="J31" s="1311">
        <f t="shared" si="23"/>
        <v>3286.6476502441201</v>
      </c>
      <c r="K31" s="1312">
        <f t="shared" si="23"/>
        <v>3502.4900399999997</v>
      </c>
      <c r="L31" s="1313">
        <f t="shared" si="23"/>
        <v>26.31719</v>
      </c>
      <c r="M31" s="1315">
        <f t="shared" si="23"/>
        <v>0</v>
      </c>
      <c r="N31" s="1314">
        <f t="shared" si="4"/>
        <v>8.0590000000000099</v>
      </c>
      <c r="O31" s="1315">
        <f>O32+O36+O41+O44+O47+O50</f>
        <v>8.0590000000000099</v>
      </c>
      <c r="P31" s="628">
        <f t="shared" si="23"/>
        <v>0</v>
      </c>
      <c r="Q31" s="625">
        <f t="shared" si="23"/>
        <v>0</v>
      </c>
      <c r="R31" s="131"/>
      <c r="S31" s="131"/>
      <c r="T31" s="131"/>
      <c r="U31" s="131"/>
    </row>
    <row r="32" spans="1:21" ht="15" thickTop="1">
      <c r="A32" s="608"/>
      <c r="B32" s="630" t="s">
        <v>52</v>
      </c>
      <c r="C32" s="631" t="s">
        <v>6</v>
      </c>
      <c r="D32" s="632">
        <f t="shared" si="1"/>
        <v>0</v>
      </c>
      <c r="E32" s="633">
        <f>SUM(F32:H32)</f>
        <v>0</v>
      </c>
      <c r="F32" s="634">
        <f>SUM(F33:F35)</f>
        <v>0</v>
      </c>
      <c r="G32" s="635">
        <f>SUM(G33:G35)</f>
        <v>0</v>
      </c>
      <c r="H32" s="636">
        <f>SUM(H33:H35)</f>
        <v>0</v>
      </c>
      <c r="I32" s="632">
        <f t="shared" ref="I32:I53" si="24">SUM(J32:L32)</f>
        <v>0</v>
      </c>
      <c r="J32" s="634">
        <f t="shared" ref="J32:Q32" si="25">SUM(J33:J35)</f>
        <v>0</v>
      </c>
      <c r="K32" s="635">
        <f t="shared" si="25"/>
        <v>0</v>
      </c>
      <c r="L32" s="636">
        <f t="shared" si="25"/>
        <v>0</v>
      </c>
      <c r="M32" s="637">
        <f t="shared" si="25"/>
        <v>0</v>
      </c>
      <c r="N32" s="632">
        <f t="shared" si="4"/>
        <v>0</v>
      </c>
      <c r="O32" s="637">
        <f>SUM(O33:O35)</f>
        <v>0</v>
      </c>
      <c r="P32" s="636">
        <f t="shared" si="25"/>
        <v>0</v>
      </c>
      <c r="Q32" s="633">
        <f t="shared" si="25"/>
        <v>0</v>
      </c>
      <c r="R32" s="131"/>
      <c r="S32" s="131"/>
      <c r="T32" s="131"/>
      <c r="U32" s="131"/>
    </row>
    <row r="33" spans="1:21">
      <c r="A33" s="608"/>
      <c r="B33" s="638" t="s">
        <v>130</v>
      </c>
      <c r="C33" s="639" t="s">
        <v>8</v>
      </c>
      <c r="D33" s="632">
        <f t="shared" si="1"/>
        <v>0</v>
      </c>
      <c r="E33" s="633">
        <f t="shared" ref="E33:E53" si="26">SUM(F33:H33)</f>
        <v>0</v>
      </c>
      <c r="F33" s="691">
        <v>0</v>
      </c>
      <c r="G33" s="692">
        <v>0</v>
      </c>
      <c r="H33" s="693">
        <v>0</v>
      </c>
      <c r="I33" s="632">
        <f t="shared" si="24"/>
        <v>0</v>
      </c>
      <c r="J33" s="691">
        <v>0</v>
      </c>
      <c r="K33" s="692">
        <v>0</v>
      </c>
      <c r="L33" s="693">
        <v>0</v>
      </c>
      <c r="M33" s="694">
        <v>0</v>
      </c>
      <c r="N33" s="644">
        <f t="shared" si="4"/>
        <v>0</v>
      </c>
      <c r="O33" s="694">
        <v>0</v>
      </c>
      <c r="P33" s="695">
        <v>0</v>
      </c>
      <c r="Q33" s="696">
        <v>0</v>
      </c>
      <c r="R33" s="131" t="s">
        <v>1310</v>
      </c>
      <c r="S33" s="131"/>
      <c r="T33" s="131"/>
      <c r="U33" s="131"/>
    </row>
    <row r="34" spans="1:21">
      <c r="A34" s="608"/>
      <c r="B34" s="638" t="s">
        <v>132</v>
      </c>
      <c r="C34" s="639" t="s">
        <v>9</v>
      </c>
      <c r="D34" s="632">
        <f t="shared" si="1"/>
        <v>0</v>
      </c>
      <c r="E34" s="633">
        <f t="shared" si="26"/>
        <v>0</v>
      </c>
      <c r="F34" s="691">
        <v>0</v>
      </c>
      <c r="G34" s="692">
        <v>0</v>
      </c>
      <c r="H34" s="693">
        <v>0</v>
      </c>
      <c r="I34" s="632">
        <f t="shared" si="24"/>
        <v>0</v>
      </c>
      <c r="J34" s="691">
        <v>0</v>
      </c>
      <c r="K34" s="692">
        <v>0</v>
      </c>
      <c r="L34" s="693">
        <v>0</v>
      </c>
      <c r="M34" s="694">
        <v>0</v>
      </c>
      <c r="N34" s="644">
        <f t="shared" si="4"/>
        <v>0</v>
      </c>
      <c r="O34" s="694">
        <v>0</v>
      </c>
      <c r="P34" s="695">
        <v>0</v>
      </c>
      <c r="Q34" s="696">
        <v>0</v>
      </c>
      <c r="R34" s="131" t="s">
        <v>1312</v>
      </c>
      <c r="S34" s="131"/>
      <c r="T34" s="131"/>
      <c r="U34" s="131"/>
    </row>
    <row r="35" spans="1:21">
      <c r="A35" s="608"/>
      <c r="B35" s="638" t="s">
        <v>134</v>
      </c>
      <c r="C35" s="639" t="s">
        <v>11</v>
      </c>
      <c r="D35" s="632">
        <f t="shared" si="1"/>
        <v>0</v>
      </c>
      <c r="E35" s="633">
        <f t="shared" si="26"/>
        <v>0</v>
      </c>
      <c r="F35" s="691">
        <v>0</v>
      </c>
      <c r="G35" s="692">
        <v>0</v>
      </c>
      <c r="H35" s="693">
        <v>0</v>
      </c>
      <c r="I35" s="632">
        <f t="shared" si="24"/>
        <v>0</v>
      </c>
      <c r="J35" s="691">
        <v>0</v>
      </c>
      <c r="K35" s="692">
        <v>0</v>
      </c>
      <c r="L35" s="693">
        <v>0</v>
      </c>
      <c r="M35" s="694">
        <v>0</v>
      </c>
      <c r="N35" s="644">
        <f t="shared" si="4"/>
        <v>0</v>
      </c>
      <c r="O35" s="694">
        <v>0</v>
      </c>
      <c r="P35" s="695">
        <v>0</v>
      </c>
      <c r="Q35" s="696">
        <v>0</v>
      </c>
      <c r="R35" s="131" t="s">
        <v>1314</v>
      </c>
      <c r="S35" s="131"/>
      <c r="T35" s="131"/>
      <c r="U35" s="131"/>
    </row>
    <row r="36" spans="1:21">
      <c r="A36" s="608"/>
      <c r="B36" s="630" t="s">
        <v>135</v>
      </c>
      <c r="C36" s="646" t="s">
        <v>13</v>
      </c>
      <c r="D36" s="632">
        <f t="shared" si="1"/>
        <v>9543.2826753000008</v>
      </c>
      <c r="E36" s="633">
        <f t="shared" si="26"/>
        <v>2825.38775505588</v>
      </c>
      <c r="F36" s="634">
        <f>SUM(F37:F40)</f>
        <v>214.09295000000003</v>
      </c>
      <c r="G36" s="635">
        <f>SUM(G37:G40)</f>
        <v>945.83068999999989</v>
      </c>
      <c r="H36" s="636">
        <f>SUM(H37:H40)</f>
        <v>1665.46411505588</v>
      </c>
      <c r="I36" s="632">
        <f t="shared" si="24"/>
        <v>6717.8949202441199</v>
      </c>
      <c r="J36" s="634">
        <f t="shared" ref="J36:Q36" si="27">SUM(J37:J40)</f>
        <v>3208.10321024412</v>
      </c>
      <c r="K36" s="635">
        <f t="shared" si="27"/>
        <v>3483.4745199999998</v>
      </c>
      <c r="L36" s="636">
        <f t="shared" si="27"/>
        <v>26.31719</v>
      </c>
      <c r="M36" s="637">
        <f t="shared" si="27"/>
        <v>0</v>
      </c>
      <c r="N36" s="632">
        <f t="shared" si="4"/>
        <v>0</v>
      </c>
      <c r="O36" s="637">
        <f>SUM(O37:O40)</f>
        <v>0</v>
      </c>
      <c r="P36" s="636">
        <f t="shared" si="27"/>
        <v>0</v>
      </c>
      <c r="Q36" s="633">
        <f t="shared" si="27"/>
        <v>0</v>
      </c>
      <c r="R36" s="131"/>
      <c r="S36" s="131"/>
      <c r="T36" s="131"/>
      <c r="U36" s="131"/>
    </row>
    <row r="37" spans="1:21">
      <c r="A37" s="608"/>
      <c r="B37" s="638" t="s">
        <v>137</v>
      </c>
      <c r="C37" s="639" t="s">
        <v>15</v>
      </c>
      <c r="D37" s="632">
        <f t="shared" si="1"/>
        <v>34.050339999999998</v>
      </c>
      <c r="E37" s="633">
        <f t="shared" si="26"/>
        <v>18.503619999999998</v>
      </c>
      <c r="F37" s="691">
        <v>18.503619999999998</v>
      </c>
      <c r="G37" s="692">
        <v>0</v>
      </c>
      <c r="H37" s="693">
        <v>0</v>
      </c>
      <c r="I37" s="632">
        <f t="shared" si="24"/>
        <v>15.546719999999999</v>
      </c>
      <c r="J37" s="691">
        <v>0</v>
      </c>
      <c r="K37" s="692">
        <v>15.546719999999999</v>
      </c>
      <c r="L37" s="693">
        <v>0</v>
      </c>
      <c r="M37" s="694">
        <v>0</v>
      </c>
      <c r="N37" s="644">
        <f t="shared" si="4"/>
        <v>0</v>
      </c>
      <c r="O37" s="694">
        <v>0</v>
      </c>
      <c r="P37" s="695">
        <v>0</v>
      </c>
      <c r="Q37" s="696">
        <v>0</v>
      </c>
      <c r="R37" s="131" t="s">
        <v>1316</v>
      </c>
      <c r="S37" s="131"/>
      <c r="T37" s="131"/>
      <c r="U37" s="131"/>
    </row>
    <row r="38" spans="1:21">
      <c r="A38" s="608"/>
      <c r="B38" s="638" t="s">
        <v>139</v>
      </c>
      <c r="C38" s="639" t="s">
        <v>589</v>
      </c>
      <c r="D38" s="1307">
        <f t="shared" si="1"/>
        <v>18.054760000000002</v>
      </c>
      <c r="E38" s="633">
        <f t="shared" si="26"/>
        <v>18.054760000000002</v>
      </c>
      <c r="F38" s="691">
        <v>18.054760000000002</v>
      </c>
      <c r="G38" s="692">
        <v>0</v>
      </c>
      <c r="H38" s="693">
        <v>0</v>
      </c>
      <c r="I38" s="632">
        <f t="shared" si="24"/>
        <v>0</v>
      </c>
      <c r="J38" s="691">
        <v>0</v>
      </c>
      <c r="K38" s="692">
        <v>0</v>
      </c>
      <c r="L38" s="693">
        <v>0</v>
      </c>
      <c r="M38" s="694">
        <v>0</v>
      </c>
      <c r="N38" s="644">
        <f t="shared" si="4"/>
        <v>0</v>
      </c>
      <c r="O38" s="694">
        <v>0</v>
      </c>
      <c r="P38" s="695">
        <v>0</v>
      </c>
      <c r="Q38" s="696">
        <v>0</v>
      </c>
      <c r="R38" s="507" t="s">
        <v>1353</v>
      </c>
      <c r="S38" s="507" t="s">
        <v>1354</v>
      </c>
      <c r="T38" s="507" t="s">
        <v>1355</v>
      </c>
      <c r="U38" s="507" t="s">
        <v>1356</v>
      </c>
    </row>
    <row r="39" spans="1:21">
      <c r="A39" s="608"/>
      <c r="B39" s="638" t="s">
        <v>601</v>
      </c>
      <c r="C39" s="639" t="s">
        <v>21</v>
      </c>
      <c r="D39" s="632">
        <f t="shared" si="1"/>
        <v>3588.0772044</v>
      </c>
      <c r="E39" s="633">
        <f t="shared" si="26"/>
        <v>1570.33103505588</v>
      </c>
      <c r="F39" s="691">
        <v>0</v>
      </c>
      <c r="G39" s="692">
        <v>0</v>
      </c>
      <c r="H39" s="693">
        <v>1570.33103505588</v>
      </c>
      <c r="I39" s="632">
        <f t="shared" si="24"/>
        <v>2017.7461693441201</v>
      </c>
      <c r="J39" s="691">
        <v>2017.7461693441201</v>
      </c>
      <c r="K39" s="692">
        <v>0</v>
      </c>
      <c r="L39" s="693">
        <v>0</v>
      </c>
      <c r="M39" s="694">
        <v>0</v>
      </c>
      <c r="N39" s="644">
        <f t="shared" si="4"/>
        <v>0</v>
      </c>
      <c r="O39" s="694">
        <v>0</v>
      </c>
      <c r="P39" s="695">
        <v>0</v>
      </c>
      <c r="Q39" s="696">
        <v>0</v>
      </c>
      <c r="R39" s="507" t="s">
        <v>1320</v>
      </c>
      <c r="S39" s="131"/>
      <c r="T39" s="131"/>
      <c r="U39" s="131"/>
    </row>
    <row r="40" spans="1:21" ht="39.6">
      <c r="A40" s="608"/>
      <c r="B40" s="638" t="s">
        <v>602</v>
      </c>
      <c r="C40" s="639" t="s">
        <v>591</v>
      </c>
      <c r="D40" s="632">
        <f t="shared" si="1"/>
        <v>5903.1003708999997</v>
      </c>
      <c r="E40" s="633">
        <f t="shared" si="26"/>
        <v>1218.4983400000001</v>
      </c>
      <c r="F40" s="691">
        <v>177.53457000000003</v>
      </c>
      <c r="G40" s="692">
        <v>945.83068999999989</v>
      </c>
      <c r="H40" s="693">
        <v>95.133079999999993</v>
      </c>
      <c r="I40" s="632">
        <f t="shared" si="24"/>
        <v>4684.6020308999996</v>
      </c>
      <c r="J40" s="691">
        <v>1190.3570408999999</v>
      </c>
      <c r="K40" s="692">
        <v>3467.9277999999999</v>
      </c>
      <c r="L40" s="693">
        <v>26.31719</v>
      </c>
      <c r="M40" s="694">
        <v>0</v>
      </c>
      <c r="N40" s="644">
        <f t="shared" si="4"/>
        <v>0</v>
      </c>
      <c r="O40" s="694">
        <v>0</v>
      </c>
      <c r="P40" s="695">
        <v>0</v>
      </c>
      <c r="Q40" s="696">
        <v>0</v>
      </c>
      <c r="R40" s="507" t="s">
        <v>1322</v>
      </c>
      <c r="S40" s="131"/>
      <c r="T40" s="131"/>
      <c r="U40" s="131"/>
    </row>
    <row r="41" spans="1:21">
      <c r="A41" s="608"/>
      <c r="B41" s="630" t="s">
        <v>296</v>
      </c>
      <c r="C41" s="647" t="s">
        <v>25</v>
      </c>
      <c r="D41" s="632">
        <f t="shared" si="1"/>
        <v>69.441310000000001</v>
      </c>
      <c r="E41" s="633">
        <f t="shared" si="26"/>
        <v>1.7813499999999998</v>
      </c>
      <c r="F41" s="634">
        <f>SUM(F42:F43)</f>
        <v>0.58299999999999996</v>
      </c>
      <c r="G41" s="635">
        <f>SUM(G42:G43)</f>
        <v>0</v>
      </c>
      <c r="H41" s="636">
        <f>SUM(H42:H43)</f>
        <v>1.1983499999999998</v>
      </c>
      <c r="I41" s="632">
        <f t="shared" si="24"/>
        <v>67.659959999999998</v>
      </c>
      <c r="J41" s="634">
        <f t="shared" ref="J41:Q41" si="28">SUM(J42:J43)</f>
        <v>48.644439999999996</v>
      </c>
      <c r="K41" s="635">
        <f t="shared" si="28"/>
        <v>19.015520000000002</v>
      </c>
      <c r="L41" s="636">
        <f t="shared" si="28"/>
        <v>0</v>
      </c>
      <c r="M41" s="637">
        <f t="shared" si="28"/>
        <v>0</v>
      </c>
      <c r="N41" s="632">
        <f t="shared" si="4"/>
        <v>0</v>
      </c>
      <c r="O41" s="637">
        <f>SUM(O42:O43)</f>
        <v>0</v>
      </c>
      <c r="P41" s="636">
        <f t="shared" si="28"/>
        <v>0</v>
      </c>
      <c r="Q41" s="633">
        <f t="shared" si="28"/>
        <v>0</v>
      </c>
      <c r="R41" s="131"/>
      <c r="S41" s="131"/>
      <c r="T41" s="131"/>
      <c r="U41" s="131"/>
    </row>
    <row r="42" spans="1:21" ht="53.4">
      <c r="A42" s="608"/>
      <c r="B42" s="638" t="s">
        <v>298</v>
      </c>
      <c r="C42" s="648" t="s">
        <v>592</v>
      </c>
      <c r="D42" s="1308">
        <f t="shared" si="1"/>
        <v>54.627049999999997</v>
      </c>
      <c r="E42" s="633">
        <f t="shared" si="26"/>
        <v>1.7813499999999998</v>
      </c>
      <c r="F42" s="691">
        <v>0.58299999999999996</v>
      </c>
      <c r="G42" s="692">
        <v>0</v>
      </c>
      <c r="H42" s="693">
        <v>1.1983499999999998</v>
      </c>
      <c r="I42" s="632">
        <f t="shared" si="24"/>
        <v>52.845699999999994</v>
      </c>
      <c r="J42" s="691">
        <v>38.447699999999998</v>
      </c>
      <c r="K42" s="692">
        <v>14.398</v>
      </c>
      <c r="L42" s="693">
        <v>0</v>
      </c>
      <c r="M42" s="694">
        <v>0</v>
      </c>
      <c r="N42" s="644">
        <f t="shared" si="4"/>
        <v>0</v>
      </c>
      <c r="O42" s="694">
        <v>0</v>
      </c>
      <c r="P42" s="695">
        <v>0</v>
      </c>
      <c r="Q42" s="696">
        <v>0</v>
      </c>
      <c r="R42" s="507" t="s">
        <v>1324</v>
      </c>
      <c r="S42" s="131"/>
      <c r="T42" s="131"/>
      <c r="U42" s="131"/>
    </row>
    <row r="43" spans="1:21">
      <c r="A43" s="608"/>
      <c r="B43" s="638" t="s">
        <v>299</v>
      </c>
      <c r="C43" s="648" t="s">
        <v>29</v>
      </c>
      <c r="D43" s="632">
        <f t="shared" si="1"/>
        <v>14.814260000000001</v>
      </c>
      <c r="E43" s="633">
        <f t="shared" si="26"/>
        <v>0</v>
      </c>
      <c r="F43" s="691">
        <v>0</v>
      </c>
      <c r="G43" s="692">
        <v>0</v>
      </c>
      <c r="H43" s="693">
        <v>0</v>
      </c>
      <c r="I43" s="632">
        <f t="shared" si="24"/>
        <v>14.814260000000001</v>
      </c>
      <c r="J43" s="691">
        <v>10.19674</v>
      </c>
      <c r="K43" s="692">
        <v>4.6175200000000007</v>
      </c>
      <c r="L43" s="693">
        <v>0</v>
      </c>
      <c r="M43" s="694">
        <v>0</v>
      </c>
      <c r="N43" s="644">
        <f t="shared" si="4"/>
        <v>0</v>
      </c>
      <c r="O43" s="694">
        <v>0</v>
      </c>
      <c r="P43" s="695">
        <v>0</v>
      </c>
      <c r="Q43" s="696">
        <v>0</v>
      </c>
      <c r="R43" s="507" t="s">
        <v>1326</v>
      </c>
      <c r="S43" s="131"/>
      <c r="T43" s="131"/>
      <c r="U43" s="131"/>
    </row>
    <row r="44" spans="1:21">
      <c r="A44" s="608"/>
      <c r="B44" s="630" t="s">
        <v>301</v>
      </c>
      <c r="C44" s="647" t="s">
        <v>31</v>
      </c>
      <c r="D44" s="632">
        <f t="shared" si="1"/>
        <v>8.0590000000000099</v>
      </c>
      <c r="E44" s="633">
        <f t="shared" si="26"/>
        <v>0</v>
      </c>
      <c r="F44" s="634">
        <f>SUM(F45:F46)</f>
        <v>0</v>
      </c>
      <c r="G44" s="635">
        <f>SUM(G45:G46)</f>
        <v>0</v>
      </c>
      <c r="H44" s="636">
        <f>SUM(H45:H46)</f>
        <v>0</v>
      </c>
      <c r="I44" s="632">
        <f t="shared" si="24"/>
        <v>0</v>
      </c>
      <c r="J44" s="634">
        <f t="shared" ref="J44:Q44" si="29">SUM(J45:J46)</f>
        <v>0</v>
      </c>
      <c r="K44" s="635">
        <f t="shared" si="29"/>
        <v>0</v>
      </c>
      <c r="L44" s="636">
        <f t="shared" si="29"/>
        <v>0</v>
      </c>
      <c r="M44" s="637">
        <f t="shared" si="29"/>
        <v>0</v>
      </c>
      <c r="N44" s="632">
        <f t="shared" si="4"/>
        <v>8.0590000000000099</v>
      </c>
      <c r="O44" s="637">
        <f>SUM(O45:O46)</f>
        <v>8.0590000000000099</v>
      </c>
      <c r="P44" s="636">
        <f t="shared" si="29"/>
        <v>0</v>
      </c>
      <c r="Q44" s="633">
        <f t="shared" si="29"/>
        <v>0</v>
      </c>
      <c r="R44" s="131"/>
      <c r="S44" s="131"/>
      <c r="T44" s="131"/>
      <c r="U44" s="131"/>
    </row>
    <row r="45" spans="1:21">
      <c r="A45" s="608"/>
      <c r="B45" s="638" t="s">
        <v>302</v>
      </c>
      <c r="C45" s="648" t="s">
        <v>594</v>
      </c>
      <c r="D45" s="632">
        <f t="shared" si="1"/>
        <v>8.0590000000000099</v>
      </c>
      <c r="E45" s="650">
        <f t="shared" si="26"/>
        <v>0</v>
      </c>
      <c r="F45" s="697">
        <v>0</v>
      </c>
      <c r="G45" s="698">
        <v>0</v>
      </c>
      <c r="H45" s="699">
        <v>0</v>
      </c>
      <c r="I45" s="654">
        <f t="shared" si="24"/>
        <v>0</v>
      </c>
      <c r="J45" s="697">
        <v>0</v>
      </c>
      <c r="K45" s="698">
        <v>0</v>
      </c>
      <c r="L45" s="699">
        <v>0</v>
      </c>
      <c r="M45" s="700">
        <v>0</v>
      </c>
      <c r="N45" s="364">
        <f t="shared" si="4"/>
        <v>8.0590000000000099</v>
      </c>
      <c r="O45" s="700">
        <v>8.0590000000000099</v>
      </c>
      <c r="P45" s="695">
        <v>0</v>
      </c>
      <c r="Q45" s="696">
        <v>0</v>
      </c>
      <c r="R45" s="507" t="s">
        <v>1328</v>
      </c>
      <c r="S45" s="131"/>
      <c r="T45" s="131"/>
      <c r="U45" s="131"/>
    </row>
    <row r="46" spans="1:21" ht="27">
      <c r="A46" s="608"/>
      <c r="B46" s="649" t="s">
        <v>302</v>
      </c>
      <c r="C46" s="701" t="s">
        <v>596</v>
      </c>
      <c r="D46" s="632">
        <f t="shared" si="1"/>
        <v>0</v>
      </c>
      <c r="E46" s="650">
        <f t="shared" si="26"/>
        <v>0</v>
      </c>
      <c r="F46" s="697">
        <v>0</v>
      </c>
      <c r="G46" s="698">
        <v>0</v>
      </c>
      <c r="H46" s="699">
        <v>0</v>
      </c>
      <c r="I46" s="654">
        <f t="shared" si="24"/>
        <v>0</v>
      </c>
      <c r="J46" s="697">
        <v>0</v>
      </c>
      <c r="K46" s="698">
        <v>0</v>
      </c>
      <c r="L46" s="699">
        <v>0</v>
      </c>
      <c r="M46" s="700">
        <v>0</v>
      </c>
      <c r="N46" s="364">
        <f t="shared" si="4"/>
        <v>0</v>
      </c>
      <c r="O46" s="700">
        <v>0</v>
      </c>
      <c r="P46" s="695">
        <v>0</v>
      </c>
      <c r="Q46" s="696">
        <v>0</v>
      </c>
      <c r="R46" s="507" t="s">
        <v>1330</v>
      </c>
      <c r="S46" s="131"/>
      <c r="T46" s="131"/>
      <c r="U46" s="131"/>
    </row>
    <row r="47" spans="1:21">
      <c r="A47" s="608"/>
      <c r="B47" s="630" t="s">
        <v>306</v>
      </c>
      <c r="C47" s="658" t="s">
        <v>37</v>
      </c>
      <c r="D47" s="659">
        <f t="shared" si="1"/>
        <v>31.511569999999999</v>
      </c>
      <c r="E47" s="660">
        <f t="shared" si="26"/>
        <v>1.6115699999999999</v>
      </c>
      <c r="F47" s="661">
        <f>SUM(F48:F49)</f>
        <v>1.6115699999999999</v>
      </c>
      <c r="G47" s="662">
        <f>SUM(G48:G49)</f>
        <v>0</v>
      </c>
      <c r="H47" s="663">
        <f>SUM(H48:H49)</f>
        <v>0</v>
      </c>
      <c r="I47" s="664">
        <f t="shared" si="24"/>
        <v>29.9</v>
      </c>
      <c r="J47" s="661">
        <f t="shared" ref="J47:Q47" si="30">SUM(J48:J49)</f>
        <v>29.9</v>
      </c>
      <c r="K47" s="662">
        <f t="shared" si="30"/>
        <v>0</v>
      </c>
      <c r="L47" s="663">
        <f t="shared" si="30"/>
        <v>0</v>
      </c>
      <c r="M47" s="665">
        <f t="shared" si="30"/>
        <v>0</v>
      </c>
      <c r="N47" s="664">
        <f t="shared" si="4"/>
        <v>0</v>
      </c>
      <c r="O47" s="665">
        <f>SUM(O48:O49)</f>
        <v>0</v>
      </c>
      <c r="P47" s="663">
        <f t="shared" si="30"/>
        <v>0</v>
      </c>
      <c r="Q47" s="660">
        <f t="shared" si="30"/>
        <v>0</v>
      </c>
      <c r="R47" s="131"/>
      <c r="S47" s="131"/>
      <c r="T47" s="131"/>
      <c r="U47" s="131"/>
    </row>
    <row r="48" spans="1:21">
      <c r="A48" s="608"/>
      <c r="B48" s="666" t="s">
        <v>308</v>
      </c>
      <c r="C48" s="667" t="s">
        <v>39</v>
      </c>
      <c r="D48" s="668">
        <f t="shared" si="1"/>
        <v>0</v>
      </c>
      <c r="E48" s="669">
        <f t="shared" si="26"/>
        <v>0</v>
      </c>
      <c r="F48" s="702">
        <v>0</v>
      </c>
      <c r="G48" s="703">
        <v>0</v>
      </c>
      <c r="H48" s="704">
        <v>0</v>
      </c>
      <c r="I48" s="407">
        <f t="shared" si="24"/>
        <v>0</v>
      </c>
      <c r="J48" s="702">
        <v>0</v>
      </c>
      <c r="K48" s="703">
        <v>0</v>
      </c>
      <c r="L48" s="704">
        <v>0</v>
      </c>
      <c r="M48" s="705">
        <v>0</v>
      </c>
      <c r="N48" s="706">
        <f t="shared" si="4"/>
        <v>0</v>
      </c>
      <c r="O48" s="705">
        <v>0</v>
      </c>
      <c r="P48" s="695">
        <v>0</v>
      </c>
      <c r="Q48" s="696">
        <v>0</v>
      </c>
      <c r="R48" s="131" t="s">
        <v>1332</v>
      </c>
      <c r="S48" s="131"/>
      <c r="T48" s="131"/>
      <c r="U48" s="131"/>
    </row>
    <row r="49" spans="1:21" ht="27">
      <c r="A49" s="608"/>
      <c r="B49" s="666" t="s">
        <v>310</v>
      </c>
      <c r="C49" s="675" t="s">
        <v>41</v>
      </c>
      <c r="D49" s="659">
        <f t="shared" si="1"/>
        <v>31.511569999999999</v>
      </c>
      <c r="E49" s="660">
        <f t="shared" si="26"/>
        <v>1.6115699999999999</v>
      </c>
      <c r="F49" s="1309">
        <v>1.6115699999999999</v>
      </c>
      <c r="G49" s="708">
        <v>0</v>
      </c>
      <c r="H49" s="709">
        <v>0</v>
      </c>
      <c r="I49" s="664">
        <f t="shared" si="24"/>
        <v>29.9</v>
      </c>
      <c r="J49" s="707">
        <v>29.9</v>
      </c>
      <c r="K49" s="708">
        <v>0</v>
      </c>
      <c r="L49" s="709">
        <v>0</v>
      </c>
      <c r="M49" s="710">
        <v>0</v>
      </c>
      <c r="N49" s="513">
        <f t="shared" si="4"/>
        <v>0</v>
      </c>
      <c r="O49" s="710">
        <v>0</v>
      </c>
      <c r="P49" s="695">
        <v>0</v>
      </c>
      <c r="Q49" s="696">
        <v>0</v>
      </c>
      <c r="R49" s="131" t="s">
        <v>1334</v>
      </c>
      <c r="S49" s="131"/>
      <c r="T49" s="131"/>
      <c r="U49" s="131"/>
    </row>
    <row r="50" spans="1:21">
      <c r="A50" s="608"/>
      <c r="B50" s="677" t="s">
        <v>312</v>
      </c>
      <c r="C50" s="678" t="s">
        <v>597</v>
      </c>
      <c r="D50" s="659">
        <f t="shared" si="1"/>
        <v>0</v>
      </c>
      <c r="E50" s="660">
        <f t="shared" si="26"/>
        <v>0</v>
      </c>
      <c r="F50" s="661">
        <f>SUM(F51:F53)</f>
        <v>0</v>
      </c>
      <c r="G50" s="662">
        <f>SUM(G51:G53)</f>
        <v>0</v>
      </c>
      <c r="H50" s="663">
        <f>SUM(H51:H53)</f>
        <v>0</v>
      </c>
      <c r="I50" s="664">
        <f t="shared" si="24"/>
        <v>0</v>
      </c>
      <c r="J50" s="661">
        <f t="shared" ref="J50:Q50" si="31">SUM(J51:J53)</f>
        <v>0</v>
      </c>
      <c r="K50" s="662">
        <f t="shared" si="31"/>
        <v>0</v>
      </c>
      <c r="L50" s="663">
        <f t="shared" si="31"/>
        <v>0</v>
      </c>
      <c r="M50" s="665">
        <f t="shared" si="31"/>
        <v>0</v>
      </c>
      <c r="N50" s="664">
        <f t="shared" si="4"/>
        <v>0</v>
      </c>
      <c r="O50" s="665">
        <f>SUM(O51:O53)</f>
        <v>0</v>
      </c>
      <c r="P50" s="663">
        <f t="shared" si="31"/>
        <v>0</v>
      </c>
      <c r="Q50" s="660">
        <f t="shared" si="31"/>
        <v>0</v>
      </c>
      <c r="R50" s="131"/>
      <c r="S50" s="131"/>
      <c r="T50" s="131"/>
      <c r="U50" s="131"/>
    </row>
    <row r="51" spans="1:21">
      <c r="A51" s="608"/>
      <c r="B51" s="679" t="s">
        <v>314</v>
      </c>
      <c r="C51" s="675" t="s">
        <v>1352</v>
      </c>
      <c r="D51" s="659">
        <f t="shared" si="1"/>
        <v>0</v>
      </c>
      <c r="E51" s="660">
        <f>SUM(F51:H51)</f>
        <v>0</v>
      </c>
      <c r="F51" s="707">
        <v>0</v>
      </c>
      <c r="G51" s="708">
        <v>0</v>
      </c>
      <c r="H51" s="709">
        <v>0</v>
      </c>
      <c r="I51" s="664">
        <f t="shared" si="24"/>
        <v>0</v>
      </c>
      <c r="J51" s="707">
        <v>0</v>
      </c>
      <c r="K51" s="708">
        <v>0</v>
      </c>
      <c r="L51" s="709">
        <v>0</v>
      </c>
      <c r="M51" s="710">
        <v>0</v>
      </c>
      <c r="N51" s="513">
        <f t="shared" si="4"/>
        <v>0</v>
      </c>
      <c r="O51" s="710">
        <v>0</v>
      </c>
      <c r="P51" s="695">
        <v>0</v>
      </c>
      <c r="Q51" s="696">
        <v>0</v>
      </c>
      <c r="R51" s="131" t="s">
        <v>1336</v>
      </c>
      <c r="S51" s="131"/>
      <c r="T51" s="131"/>
      <c r="U51" s="131"/>
    </row>
    <row r="52" spans="1:21">
      <c r="A52" s="608"/>
      <c r="B52" s="679" t="s">
        <v>603</v>
      </c>
      <c r="C52" s="675" t="s">
        <v>1352</v>
      </c>
      <c r="D52" s="659">
        <f t="shared" si="1"/>
        <v>0</v>
      </c>
      <c r="E52" s="660">
        <f t="shared" si="26"/>
        <v>0</v>
      </c>
      <c r="F52" s="707">
        <v>0</v>
      </c>
      <c r="G52" s="708">
        <v>0</v>
      </c>
      <c r="H52" s="709">
        <v>0</v>
      </c>
      <c r="I52" s="664">
        <f t="shared" si="24"/>
        <v>0</v>
      </c>
      <c r="J52" s="707">
        <v>0</v>
      </c>
      <c r="K52" s="708">
        <v>0</v>
      </c>
      <c r="L52" s="709">
        <v>0</v>
      </c>
      <c r="M52" s="710">
        <v>0</v>
      </c>
      <c r="N52" s="513">
        <f t="shared" si="4"/>
        <v>0</v>
      </c>
      <c r="O52" s="710">
        <v>0</v>
      </c>
      <c r="P52" s="695">
        <v>0</v>
      </c>
      <c r="Q52" s="696">
        <v>0</v>
      </c>
      <c r="R52" s="131" t="s">
        <v>1338</v>
      </c>
      <c r="S52" s="131"/>
      <c r="T52" s="131"/>
      <c r="U52" s="131"/>
    </row>
    <row r="53" spans="1:21" ht="15" thickBot="1">
      <c r="A53" s="608"/>
      <c r="B53" s="680" t="s">
        <v>604</v>
      </c>
      <c r="C53" s="681" t="s">
        <v>1352</v>
      </c>
      <c r="D53" s="682">
        <f t="shared" si="1"/>
        <v>0</v>
      </c>
      <c r="E53" s="683">
        <f t="shared" si="26"/>
        <v>0</v>
      </c>
      <c r="F53" s="711">
        <v>0</v>
      </c>
      <c r="G53" s="712">
        <v>0</v>
      </c>
      <c r="H53" s="713">
        <v>0</v>
      </c>
      <c r="I53" s="687">
        <f t="shared" si="24"/>
        <v>0</v>
      </c>
      <c r="J53" s="711">
        <v>0</v>
      </c>
      <c r="K53" s="712">
        <v>0</v>
      </c>
      <c r="L53" s="713">
        <v>0</v>
      </c>
      <c r="M53" s="714">
        <v>0</v>
      </c>
      <c r="N53" s="689">
        <f t="shared" si="4"/>
        <v>0</v>
      </c>
      <c r="O53" s="714">
        <v>0</v>
      </c>
      <c r="P53" s="715">
        <v>0</v>
      </c>
      <c r="Q53" s="716">
        <v>0</v>
      </c>
      <c r="R53" s="131" t="s">
        <v>1340</v>
      </c>
      <c r="S53" s="131"/>
      <c r="T53" s="131"/>
      <c r="U53" s="131"/>
    </row>
    <row r="54" spans="1:21" ht="15.6" thickTop="1" thickBot="1">
      <c r="A54" s="608" t="s">
        <v>605</v>
      </c>
      <c r="B54" s="622" t="s">
        <v>56</v>
      </c>
      <c r="C54" s="623" t="s">
        <v>606</v>
      </c>
      <c r="D54" s="624">
        <f t="shared" ref="D54:Q54" si="32">D55+D59+D64+D67+D70+D73</f>
        <v>107.23840000000001</v>
      </c>
      <c r="E54" s="625">
        <f t="shared" si="32"/>
        <v>27.413671249478465</v>
      </c>
      <c r="F54" s="626">
        <f t="shared" si="32"/>
        <v>1.0793970213537478</v>
      </c>
      <c r="G54" s="627">
        <f t="shared" si="32"/>
        <v>4.8953278110269594</v>
      </c>
      <c r="H54" s="628">
        <f t="shared" si="32"/>
        <v>21.438946417097757</v>
      </c>
      <c r="I54" s="624">
        <f t="shared" si="32"/>
        <v>79.815598358534743</v>
      </c>
      <c r="J54" s="626">
        <f t="shared" si="32"/>
        <v>51.69927593888734</v>
      </c>
      <c r="K54" s="627">
        <f t="shared" si="32"/>
        <v>17.558691552755036</v>
      </c>
      <c r="L54" s="628">
        <f t="shared" si="32"/>
        <v>10.557630866892364</v>
      </c>
      <c r="M54" s="629">
        <f t="shared" si="32"/>
        <v>0</v>
      </c>
      <c r="N54" s="624">
        <f t="shared" si="4"/>
        <v>9.1303919868095419E-3</v>
      </c>
      <c r="O54" s="629">
        <f>O55+O59+O64+O67+O70+O73</f>
        <v>9.1303919868095419E-3</v>
      </c>
      <c r="P54" s="628">
        <f t="shared" si="32"/>
        <v>0</v>
      </c>
      <c r="Q54" s="625">
        <f t="shared" si="32"/>
        <v>0</v>
      </c>
      <c r="R54" s="131"/>
      <c r="S54" s="131"/>
      <c r="T54" s="131"/>
      <c r="U54" s="131"/>
    </row>
    <row r="55" spans="1:21" ht="15" thickTop="1">
      <c r="A55" s="608"/>
      <c r="B55" s="630" t="s">
        <v>144</v>
      </c>
      <c r="C55" s="631" t="s">
        <v>6</v>
      </c>
      <c r="D55" s="632">
        <f>SUM(D56:D58)</f>
        <v>0</v>
      </c>
      <c r="E55" s="633">
        <f>SUM(F55:H55)</f>
        <v>0</v>
      </c>
      <c r="F55" s="634">
        <f>SUM(F56:F58)</f>
        <v>0</v>
      </c>
      <c r="G55" s="635">
        <f>SUM(G56:G58)</f>
        <v>0</v>
      </c>
      <c r="H55" s="636">
        <f>SUM(H56:H58)</f>
        <v>0</v>
      </c>
      <c r="I55" s="632">
        <f t="shared" ref="I55:I76" si="33">SUM(J55:L55)</f>
        <v>0</v>
      </c>
      <c r="J55" s="634">
        <f t="shared" ref="J55:Q55" si="34">SUM(J56:J58)</f>
        <v>0</v>
      </c>
      <c r="K55" s="635">
        <f t="shared" si="34"/>
        <v>0</v>
      </c>
      <c r="L55" s="636">
        <f t="shared" si="34"/>
        <v>0</v>
      </c>
      <c r="M55" s="637">
        <f t="shared" si="34"/>
        <v>0</v>
      </c>
      <c r="N55" s="632">
        <f t="shared" si="4"/>
        <v>0</v>
      </c>
      <c r="O55" s="637">
        <f>SUM(O56:O58)</f>
        <v>0</v>
      </c>
      <c r="P55" s="636">
        <f t="shared" si="34"/>
        <v>0</v>
      </c>
      <c r="Q55" s="633">
        <f t="shared" si="34"/>
        <v>0</v>
      </c>
      <c r="R55" s="131"/>
      <c r="S55" s="131"/>
      <c r="T55" s="131"/>
      <c r="U55" s="131"/>
    </row>
    <row r="56" spans="1:21">
      <c r="A56" s="608"/>
      <c r="B56" s="638" t="s">
        <v>404</v>
      </c>
      <c r="C56" s="639" t="s">
        <v>8</v>
      </c>
      <c r="D56" s="717">
        <v>0</v>
      </c>
      <c r="E56" s="645">
        <f>SUM(F56:H56)</f>
        <v>0</v>
      </c>
      <c r="F56" s="640">
        <f t="shared" ref="F56:H58" si="35">IFERROR($D56*F78/100, 0)</f>
        <v>0</v>
      </c>
      <c r="G56" s="641">
        <f t="shared" si="35"/>
        <v>0</v>
      </c>
      <c r="H56" s="642">
        <f t="shared" si="35"/>
        <v>0</v>
      </c>
      <c r="I56" s="644">
        <f t="shared" si="33"/>
        <v>0</v>
      </c>
      <c r="J56" s="640">
        <f t="shared" ref="J56:Q58" si="36">IFERROR($D56*J78/100, 0)</f>
        <v>0</v>
      </c>
      <c r="K56" s="641">
        <f t="shared" si="36"/>
        <v>0</v>
      </c>
      <c r="L56" s="642">
        <f t="shared" si="36"/>
        <v>0</v>
      </c>
      <c r="M56" s="643">
        <f t="shared" si="36"/>
        <v>0</v>
      </c>
      <c r="N56" s="644">
        <f t="shared" si="4"/>
        <v>0</v>
      </c>
      <c r="O56" s="643">
        <f>IFERROR($D56*O78/100, 0)</f>
        <v>0</v>
      </c>
      <c r="P56" s="642">
        <f t="shared" si="36"/>
        <v>0</v>
      </c>
      <c r="Q56" s="645">
        <f t="shared" si="36"/>
        <v>0</v>
      </c>
      <c r="R56" s="131" t="s">
        <v>1310</v>
      </c>
      <c r="S56" s="131"/>
      <c r="T56" s="131"/>
      <c r="U56" s="131"/>
    </row>
    <row r="57" spans="1:21">
      <c r="A57" s="608"/>
      <c r="B57" s="638" t="s">
        <v>405</v>
      </c>
      <c r="C57" s="639" t="s">
        <v>9</v>
      </c>
      <c r="D57" s="717">
        <v>0</v>
      </c>
      <c r="E57" s="645">
        <f t="shared" si="5"/>
        <v>0</v>
      </c>
      <c r="F57" s="640">
        <f t="shared" si="35"/>
        <v>0</v>
      </c>
      <c r="G57" s="641">
        <f t="shared" si="35"/>
        <v>0</v>
      </c>
      <c r="H57" s="642">
        <f t="shared" si="35"/>
        <v>0</v>
      </c>
      <c r="I57" s="644">
        <f t="shared" si="33"/>
        <v>0</v>
      </c>
      <c r="J57" s="640">
        <f t="shared" si="36"/>
        <v>0</v>
      </c>
      <c r="K57" s="641">
        <f t="shared" si="36"/>
        <v>0</v>
      </c>
      <c r="L57" s="642">
        <f t="shared" si="36"/>
        <v>0</v>
      </c>
      <c r="M57" s="643">
        <f t="shared" si="36"/>
        <v>0</v>
      </c>
      <c r="N57" s="644">
        <f t="shared" si="4"/>
        <v>0</v>
      </c>
      <c r="O57" s="643">
        <f>IFERROR($D57*O79/100, 0)</f>
        <v>0</v>
      </c>
      <c r="P57" s="642">
        <f t="shared" si="36"/>
        <v>0</v>
      </c>
      <c r="Q57" s="645">
        <f t="shared" si="36"/>
        <v>0</v>
      </c>
      <c r="R57" s="131" t="s">
        <v>1312</v>
      </c>
      <c r="S57" s="131"/>
      <c r="T57" s="131"/>
      <c r="U57" s="131"/>
    </row>
    <row r="58" spans="1:21">
      <c r="A58" s="608"/>
      <c r="B58" s="638" t="s">
        <v>607</v>
      </c>
      <c r="C58" s="639" t="s">
        <v>11</v>
      </c>
      <c r="D58" s="717">
        <v>0</v>
      </c>
      <c r="E58" s="645">
        <f t="shared" si="5"/>
        <v>0</v>
      </c>
      <c r="F58" s="640">
        <f t="shared" si="35"/>
        <v>0</v>
      </c>
      <c r="G58" s="641">
        <f t="shared" si="35"/>
        <v>0</v>
      </c>
      <c r="H58" s="642">
        <f t="shared" si="35"/>
        <v>0</v>
      </c>
      <c r="I58" s="644">
        <f t="shared" si="33"/>
        <v>0</v>
      </c>
      <c r="J58" s="640">
        <f t="shared" si="36"/>
        <v>0</v>
      </c>
      <c r="K58" s="641">
        <f t="shared" si="36"/>
        <v>0</v>
      </c>
      <c r="L58" s="642">
        <f t="shared" si="36"/>
        <v>0</v>
      </c>
      <c r="M58" s="643">
        <f t="shared" si="36"/>
        <v>0</v>
      </c>
      <c r="N58" s="644">
        <f t="shared" si="4"/>
        <v>0</v>
      </c>
      <c r="O58" s="643">
        <f>IFERROR($D58*O80/100, 0)</f>
        <v>0</v>
      </c>
      <c r="P58" s="642">
        <f t="shared" si="36"/>
        <v>0</v>
      </c>
      <c r="Q58" s="645">
        <f t="shared" si="36"/>
        <v>0</v>
      </c>
      <c r="R58" s="131" t="s">
        <v>1314</v>
      </c>
      <c r="S58" s="131"/>
      <c r="T58" s="131"/>
      <c r="U58" s="131"/>
    </row>
    <row r="59" spans="1:21">
      <c r="A59" s="608"/>
      <c r="B59" s="630" t="s">
        <v>146</v>
      </c>
      <c r="C59" s="646" t="s">
        <v>13</v>
      </c>
      <c r="D59" s="632">
        <f>SUM(D60:D63)</f>
        <v>25.961310000000001</v>
      </c>
      <c r="E59" s="633">
        <f t="shared" si="5"/>
        <v>6.6365669158230425</v>
      </c>
      <c r="F59" s="634">
        <f>SUM(F60:F63)</f>
        <v>0.26131088009930464</v>
      </c>
      <c r="G59" s="635">
        <f>SUM(G60:G63)</f>
        <v>1.1851083460187053</v>
      </c>
      <c r="H59" s="636">
        <f>SUM(H60:H63)</f>
        <v>5.1901476897050323</v>
      </c>
      <c r="I59" s="632">
        <f t="shared" si="33"/>
        <v>19.32253271049747</v>
      </c>
      <c r="J59" s="634">
        <f t="shared" ref="J59:Q59" si="37">SUM(J60:J63)</f>
        <v>12.515861197341582</v>
      </c>
      <c r="K59" s="635">
        <f t="shared" si="37"/>
        <v>4.2507780290964323</v>
      </c>
      <c r="L59" s="636">
        <f t="shared" si="37"/>
        <v>2.5558934840594545</v>
      </c>
      <c r="M59" s="637">
        <f t="shared" si="37"/>
        <v>0</v>
      </c>
      <c r="N59" s="632">
        <f t="shared" si="4"/>
        <v>2.2103736794942706E-3</v>
      </c>
      <c r="O59" s="637">
        <f>SUM(O60:O63)</f>
        <v>2.2103736794942706E-3</v>
      </c>
      <c r="P59" s="636">
        <f t="shared" si="37"/>
        <v>0</v>
      </c>
      <c r="Q59" s="633">
        <f t="shared" si="37"/>
        <v>0</v>
      </c>
      <c r="R59" s="131"/>
      <c r="S59" s="131"/>
      <c r="T59" s="131"/>
      <c r="U59" s="131"/>
    </row>
    <row r="60" spans="1:21">
      <c r="A60" s="608"/>
      <c r="B60" s="638" t="s">
        <v>148</v>
      </c>
      <c r="C60" s="639" t="s">
        <v>15</v>
      </c>
      <c r="D60" s="717">
        <v>20.6736</v>
      </c>
      <c r="E60" s="645">
        <f t="shared" si="5"/>
        <v>5.2848538764399509</v>
      </c>
      <c r="F60" s="640">
        <f t="shared" ref="F60:H63" si="38">IFERROR($D60*F81/100, 0)</f>
        <v>0.20808798210956936</v>
      </c>
      <c r="G60" s="641">
        <f t="shared" si="38"/>
        <v>0.94372956920326079</v>
      </c>
      <c r="H60" s="642">
        <f t="shared" si="38"/>
        <v>4.1330363251271205</v>
      </c>
      <c r="I60" s="644">
        <f t="shared" si="33"/>
        <v>15.386985951161186</v>
      </c>
      <c r="J60" s="640">
        <f t="shared" ref="J60:Q63" si="39">IFERROR($D60*J81/100, 0)</f>
        <v>9.9666737945566268</v>
      </c>
      <c r="K60" s="641">
        <f t="shared" si="39"/>
        <v>3.384994234201895</v>
      </c>
      <c r="L60" s="642">
        <f t="shared" si="39"/>
        <v>2.0353179224026654</v>
      </c>
      <c r="M60" s="643">
        <f t="shared" si="39"/>
        <v>0</v>
      </c>
      <c r="N60" s="644">
        <f t="shared" si="4"/>
        <v>1.7601723988655718E-3</v>
      </c>
      <c r="O60" s="643">
        <f>IFERROR($D60*O81/100, 0)</f>
        <v>1.7601723988655718E-3</v>
      </c>
      <c r="P60" s="642">
        <f t="shared" si="39"/>
        <v>0</v>
      </c>
      <c r="Q60" s="645">
        <f t="shared" si="39"/>
        <v>0</v>
      </c>
      <c r="R60" s="131" t="s">
        <v>1316</v>
      </c>
      <c r="S60" s="131"/>
      <c r="T60" s="131"/>
      <c r="U60" s="131"/>
    </row>
    <row r="61" spans="1:21">
      <c r="A61" s="608"/>
      <c r="B61" s="638" t="s">
        <v>150</v>
      </c>
      <c r="C61" s="639" t="s">
        <v>589</v>
      </c>
      <c r="D61" s="717">
        <v>3.1423800000000002</v>
      </c>
      <c r="E61" s="645">
        <f t="shared" si="5"/>
        <v>0.80329594866145104</v>
      </c>
      <c r="F61" s="640">
        <f t="shared" si="38"/>
        <v>3.1629300809799393E-2</v>
      </c>
      <c r="G61" s="641">
        <f t="shared" si="38"/>
        <v>0.14344656584595536</v>
      </c>
      <c r="H61" s="642">
        <f t="shared" si="38"/>
        <v>0.62822008200569623</v>
      </c>
      <c r="I61" s="644">
        <f t="shared" si="33"/>
        <v>2.3388165057469377</v>
      </c>
      <c r="J61" s="640">
        <f t="shared" si="39"/>
        <v>1.5149309456765563</v>
      </c>
      <c r="K61" s="641">
        <f t="shared" si="39"/>
        <v>0.51451794470587375</v>
      </c>
      <c r="L61" s="642">
        <f t="shared" si="39"/>
        <v>0.3093676153645078</v>
      </c>
      <c r="M61" s="643">
        <f t="shared" si="39"/>
        <v>0</v>
      </c>
      <c r="N61" s="644">
        <f t="shared" si="4"/>
        <v>2.6754559161187196E-4</v>
      </c>
      <c r="O61" s="643">
        <f>IFERROR($D61*O82/100, 0)</f>
        <v>2.6754559161187196E-4</v>
      </c>
      <c r="P61" s="642">
        <f t="shared" si="39"/>
        <v>0</v>
      </c>
      <c r="Q61" s="645">
        <f t="shared" si="39"/>
        <v>0</v>
      </c>
      <c r="R61" s="507" t="s">
        <v>1353</v>
      </c>
      <c r="S61" s="507" t="s">
        <v>1354</v>
      </c>
      <c r="T61" s="507" t="s">
        <v>1355</v>
      </c>
      <c r="U61" s="507" t="s">
        <v>1356</v>
      </c>
    </row>
    <row r="62" spans="1:21">
      <c r="A62" s="608"/>
      <c r="B62" s="638" t="s">
        <v>152</v>
      </c>
      <c r="C62" s="639" t="s">
        <v>21</v>
      </c>
      <c r="D62" s="717">
        <v>0</v>
      </c>
      <c r="E62" s="645">
        <f t="shared" si="5"/>
        <v>0</v>
      </c>
      <c r="F62" s="640">
        <f t="shared" si="38"/>
        <v>0</v>
      </c>
      <c r="G62" s="641">
        <f t="shared" si="38"/>
        <v>0</v>
      </c>
      <c r="H62" s="642">
        <f t="shared" si="38"/>
        <v>0</v>
      </c>
      <c r="I62" s="644">
        <f t="shared" si="33"/>
        <v>0</v>
      </c>
      <c r="J62" s="640">
        <f t="shared" si="39"/>
        <v>0</v>
      </c>
      <c r="K62" s="641">
        <f t="shared" si="39"/>
        <v>0</v>
      </c>
      <c r="L62" s="642">
        <f t="shared" si="39"/>
        <v>0</v>
      </c>
      <c r="M62" s="643">
        <f t="shared" si="39"/>
        <v>0</v>
      </c>
      <c r="N62" s="644">
        <f t="shared" si="4"/>
        <v>0</v>
      </c>
      <c r="O62" s="643">
        <f>IFERROR($D62*O83/100, 0)</f>
        <v>0</v>
      </c>
      <c r="P62" s="642">
        <f t="shared" si="39"/>
        <v>0</v>
      </c>
      <c r="Q62" s="645">
        <f t="shared" si="39"/>
        <v>0</v>
      </c>
      <c r="R62" s="507" t="s">
        <v>1320</v>
      </c>
      <c r="S62" s="131"/>
      <c r="T62" s="131"/>
      <c r="U62" s="131"/>
    </row>
    <row r="63" spans="1:21" ht="39.6">
      <c r="A63" s="608"/>
      <c r="B63" s="638" t="s">
        <v>608</v>
      </c>
      <c r="C63" s="639" t="s">
        <v>591</v>
      </c>
      <c r="D63" s="717">
        <v>2.14533</v>
      </c>
      <c r="E63" s="645">
        <f t="shared" si="5"/>
        <v>0.54841709072164102</v>
      </c>
      <c r="F63" s="640">
        <f t="shared" si="38"/>
        <v>2.1593597179935878E-2</v>
      </c>
      <c r="G63" s="641">
        <f t="shared" si="38"/>
        <v>9.7932210969489175E-2</v>
      </c>
      <c r="H63" s="642">
        <f t="shared" si="38"/>
        <v>0.42889128257221598</v>
      </c>
      <c r="I63" s="644">
        <f t="shared" si="33"/>
        <v>1.5967302535893424</v>
      </c>
      <c r="J63" s="640">
        <f t="shared" si="39"/>
        <v>1.0342564571083976</v>
      </c>
      <c r="K63" s="641">
        <f t="shared" si="39"/>
        <v>0.35126585018866335</v>
      </c>
      <c r="L63" s="642">
        <f t="shared" si="39"/>
        <v>0.21120794629228146</v>
      </c>
      <c r="M63" s="643">
        <f t="shared" si="39"/>
        <v>0</v>
      </c>
      <c r="N63" s="644">
        <f t="shared" si="4"/>
        <v>1.8265568901682715E-4</v>
      </c>
      <c r="O63" s="643">
        <f>IFERROR($D63*O84/100, 0)</f>
        <v>1.8265568901682715E-4</v>
      </c>
      <c r="P63" s="642">
        <f t="shared" si="39"/>
        <v>0</v>
      </c>
      <c r="Q63" s="645">
        <f t="shared" si="39"/>
        <v>0</v>
      </c>
      <c r="R63" s="507" t="s">
        <v>1322</v>
      </c>
      <c r="S63" s="131"/>
      <c r="T63" s="131"/>
      <c r="U63" s="131"/>
    </row>
    <row r="64" spans="1:21">
      <c r="A64" s="608"/>
      <c r="B64" s="630" t="s">
        <v>154</v>
      </c>
      <c r="C64" s="647" t="s">
        <v>25</v>
      </c>
      <c r="D64" s="632">
        <f>D65+D66</f>
        <v>1.29</v>
      </c>
      <c r="E64" s="633">
        <f t="shared" si="5"/>
        <v>0.32976653802954187</v>
      </c>
      <c r="F64" s="634">
        <f>F65+F66</f>
        <v>1.2984361549093748E-2</v>
      </c>
      <c r="G64" s="635">
        <f>G65+G66</f>
        <v>5.8887235134287515E-2</v>
      </c>
      <c r="H64" s="636">
        <f>H65+H66</f>
        <v>0.25789494134616059</v>
      </c>
      <c r="I64" s="632">
        <f t="shared" si="33"/>
        <v>0.9601236299917737</v>
      </c>
      <c r="J64" s="634">
        <f t="shared" ref="J64:Q64" si="40">J65+J66</f>
        <v>0.62190470914490215</v>
      </c>
      <c r="K64" s="635">
        <f t="shared" si="40"/>
        <v>0.21121829590010663</v>
      </c>
      <c r="L64" s="636">
        <f t="shared" si="40"/>
        <v>0.12700062494676487</v>
      </c>
      <c r="M64" s="637">
        <f t="shared" si="40"/>
        <v>0</v>
      </c>
      <c r="N64" s="632">
        <f t="shared" si="4"/>
        <v>1.0983197868472777E-4</v>
      </c>
      <c r="O64" s="637">
        <f>O65+O66</f>
        <v>1.0983197868472777E-4</v>
      </c>
      <c r="P64" s="636">
        <f t="shared" si="40"/>
        <v>0</v>
      </c>
      <c r="Q64" s="633">
        <f t="shared" si="40"/>
        <v>0</v>
      </c>
      <c r="R64" s="131"/>
      <c r="S64" s="131"/>
      <c r="T64" s="131"/>
      <c r="U64" s="131"/>
    </row>
    <row r="65" spans="1:21" ht="53.4">
      <c r="A65" s="608"/>
      <c r="B65" s="638" t="s">
        <v>406</v>
      </c>
      <c r="C65" s="648" t="s">
        <v>592</v>
      </c>
      <c r="D65" s="717">
        <v>1.29</v>
      </c>
      <c r="E65" s="645">
        <f t="shared" si="5"/>
        <v>0.32976653802954187</v>
      </c>
      <c r="F65" s="640">
        <f t="shared" ref="F65:H66" si="41">IFERROR($D65*F85/100, 0)</f>
        <v>1.2984361549093748E-2</v>
      </c>
      <c r="G65" s="641">
        <f t="shared" si="41"/>
        <v>5.8887235134287515E-2</v>
      </c>
      <c r="H65" s="642">
        <f t="shared" si="41"/>
        <v>0.25789494134616059</v>
      </c>
      <c r="I65" s="644">
        <f t="shared" si="33"/>
        <v>0.9601236299917737</v>
      </c>
      <c r="J65" s="640">
        <f t="shared" ref="J65:Q66" si="42">IFERROR($D65*J85/100, 0)</f>
        <v>0.62190470914490215</v>
      </c>
      <c r="K65" s="641">
        <f t="shared" si="42"/>
        <v>0.21121829590010663</v>
      </c>
      <c r="L65" s="642">
        <f t="shared" si="42"/>
        <v>0.12700062494676487</v>
      </c>
      <c r="M65" s="643">
        <f t="shared" si="42"/>
        <v>0</v>
      </c>
      <c r="N65" s="644">
        <f t="shared" si="4"/>
        <v>1.0983197868472777E-4</v>
      </c>
      <c r="O65" s="643">
        <f>IFERROR($D65*O85/100, 0)</f>
        <v>1.0983197868472777E-4</v>
      </c>
      <c r="P65" s="642">
        <f t="shared" si="42"/>
        <v>0</v>
      </c>
      <c r="Q65" s="645">
        <f t="shared" si="42"/>
        <v>0</v>
      </c>
      <c r="R65" s="507" t="s">
        <v>1324</v>
      </c>
      <c r="S65" s="131"/>
      <c r="T65" s="131"/>
      <c r="U65" s="131"/>
    </row>
    <row r="66" spans="1:21">
      <c r="A66" s="608"/>
      <c r="B66" s="638" t="s">
        <v>609</v>
      </c>
      <c r="C66" s="648" t="s">
        <v>29</v>
      </c>
      <c r="D66" s="717">
        <v>0</v>
      </c>
      <c r="E66" s="645">
        <f t="shared" si="5"/>
        <v>0</v>
      </c>
      <c r="F66" s="640">
        <f t="shared" si="41"/>
        <v>0</v>
      </c>
      <c r="G66" s="641">
        <f t="shared" si="41"/>
        <v>0</v>
      </c>
      <c r="H66" s="642">
        <f t="shared" si="41"/>
        <v>0</v>
      </c>
      <c r="I66" s="644">
        <f t="shared" si="33"/>
        <v>0</v>
      </c>
      <c r="J66" s="640">
        <f t="shared" si="42"/>
        <v>0</v>
      </c>
      <c r="K66" s="641">
        <f t="shared" si="42"/>
        <v>0</v>
      </c>
      <c r="L66" s="642">
        <f t="shared" si="42"/>
        <v>0</v>
      </c>
      <c r="M66" s="643">
        <f t="shared" si="42"/>
        <v>0</v>
      </c>
      <c r="N66" s="644">
        <f t="shared" si="4"/>
        <v>0</v>
      </c>
      <c r="O66" s="643">
        <f>IFERROR($D66*O86/100, 0)</f>
        <v>0</v>
      </c>
      <c r="P66" s="642">
        <f t="shared" si="42"/>
        <v>0</v>
      </c>
      <c r="Q66" s="645">
        <f t="shared" si="42"/>
        <v>0</v>
      </c>
      <c r="R66" s="507" t="s">
        <v>1326</v>
      </c>
      <c r="S66" s="131"/>
      <c r="T66" s="131"/>
      <c r="U66" s="131"/>
    </row>
    <row r="67" spans="1:21">
      <c r="A67" s="608"/>
      <c r="B67" s="630" t="s">
        <v>407</v>
      </c>
      <c r="C67" s="647" t="s">
        <v>31</v>
      </c>
      <c r="D67" s="632">
        <f>D68+D69</f>
        <v>13.46147</v>
      </c>
      <c r="E67" s="633">
        <f t="shared" si="5"/>
        <v>3.4411956268903379</v>
      </c>
      <c r="F67" s="634">
        <f>F68+F69</f>
        <v>0.13549503369168917</v>
      </c>
      <c r="G67" s="635">
        <f>G68+G69</f>
        <v>0.61450290631252502</v>
      </c>
      <c r="H67" s="636">
        <f>H68+H69</f>
        <v>2.6911976868861238</v>
      </c>
      <c r="I67" s="632">
        <f t="shared" si="33"/>
        <v>10.019128249166947</v>
      </c>
      <c r="J67" s="634">
        <f t="shared" ref="J67:Q67" si="43">J68+J69</f>
        <v>6.4897299108626552</v>
      </c>
      <c r="K67" s="635">
        <f t="shared" si="43"/>
        <v>2.2041153129538049</v>
      </c>
      <c r="L67" s="636">
        <f t="shared" si="43"/>
        <v>1.3252830253504859</v>
      </c>
      <c r="M67" s="637">
        <f t="shared" si="43"/>
        <v>0</v>
      </c>
      <c r="N67" s="632">
        <f t="shared" si="4"/>
        <v>1.1461239427171333E-3</v>
      </c>
      <c r="O67" s="637">
        <f>O68+O69</f>
        <v>1.1461239427171333E-3</v>
      </c>
      <c r="P67" s="636">
        <f t="shared" si="43"/>
        <v>0</v>
      </c>
      <c r="Q67" s="633">
        <f t="shared" si="43"/>
        <v>0</v>
      </c>
      <c r="R67" s="131"/>
      <c r="S67" s="131"/>
      <c r="T67" s="131"/>
      <c r="U67" s="131"/>
    </row>
    <row r="68" spans="1:21">
      <c r="A68" s="608"/>
      <c r="B68" s="649" t="s">
        <v>408</v>
      </c>
      <c r="C68" s="648" t="s">
        <v>594</v>
      </c>
      <c r="D68" s="717">
        <v>0</v>
      </c>
      <c r="E68" s="645">
        <f t="shared" si="5"/>
        <v>0</v>
      </c>
      <c r="F68" s="640">
        <f t="shared" ref="F68:H69" si="44">IFERROR($D68*F87/100, 0)</f>
        <v>0</v>
      </c>
      <c r="G68" s="641">
        <f t="shared" si="44"/>
        <v>0</v>
      </c>
      <c r="H68" s="642">
        <f t="shared" si="44"/>
        <v>0</v>
      </c>
      <c r="I68" s="644">
        <f t="shared" si="33"/>
        <v>0</v>
      </c>
      <c r="J68" s="640">
        <f t="shared" ref="J68:Q69" si="45">IFERROR($D68*J87/100, 0)</f>
        <v>0</v>
      </c>
      <c r="K68" s="641">
        <f t="shared" si="45"/>
        <v>0</v>
      </c>
      <c r="L68" s="642">
        <f t="shared" si="45"/>
        <v>0</v>
      </c>
      <c r="M68" s="643">
        <f t="shared" si="45"/>
        <v>0</v>
      </c>
      <c r="N68" s="644">
        <f t="shared" si="4"/>
        <v>0</v>
      </c>
      <c r="O68" s="643">
        <f>IFERROR($D68*O87/100, 0)</f>
        <v>0</v>
      </c>
      <c r="P68" s="642">
        <f t="shared" si="45"/>
        <v>0</v>
      </c>
      <c r="Q68" s="645">
        <f t="shared" si="45"/>
        <v>0</v>
      </c>
      <c r="R68" s="507" t="s">
        <v>1328</v>
      </c>
      <c r="S68" s="131"/>
      <c r="T68" s="131"/>
      <c r="U68" s="131"/>
    </row>
    <row r="69" spans="1:21" ht="27">
      <c r="A69" s="608"/>
      <c r="B69" s="649" t="s">
        <v>409</v>
      </c>
      <c r="C69" s="701" t="s">
        <v>596</v>
      </c>
      <c r="D69" s="717">
        <v>13.46147</v>
      </c>
      <c r="E69" s="645">
        <f t="shared" si="5"/>
        <v>3.4411956268903379</v>
      </c>
      <c r="F69" s="640">
        <f t="shared" si="44"/>
        <v>0.13549503369168917</v>
      </c>
      <c r="G69" s="641">
        <f t="shared" si="44"/>
        <v>0.61450290631252502</v>
      </c>
      <c r="H69" s="642">
        <f t="shared" si="44"/>
        <v>2.6911976868861238</v>
      </c>
      <c r="I69" s="644">
        <f t="shared" si="33"/>
        <v>10.019128249166947</v>
      </c>
      <c r="J69" s="640">
        <f t="shared" si="45"/>
        <v>6.4897299108626552</v>
      </c>
      <c r="K69" s="641">
        <f t="shared" si="45"/>
        <v>2.2041153129538049</v>
      </c>
      <c r="L69" s="642">
        <f t="shared" si="45"/>
        <v>1.3252830253504859</v>
      </c>
      <c r="M69" s="643">
        <f t="shared" si="45"/>
        <v>0</v>
      </c>
      <c r="N69" s="644">
        <f t="shared" si="4"/>
        <v>1.1461239427171333E-3</v>
      </c>
      <c r="O69" s="643">
        <f>IFERROR($D69*O88/100, 0)</f>
        <v>1.1461239427171333E-3</v>
      </c>
      <c r="P69" s="642">
        <f t="shared" si="45"/>
        <v>0</v>
      </c>
      <c r="Q69" s="645">
        <f t="shared" si="45"/>
        <v>0</v>
      </c>
      <c r="R69" s="507" t="s">
        <v>1330</v>
      </c>
      <c r="S69" s="131"/>
      <c r="T69" s="131"/>
      <c r="U69" s="131"/>
    </row>
    <row r="70" spans="1:21">
      <c r="A70" s="608"/>
      <c r="B70" s="630" t="s">
        <v>413</v>
      </c>
      <c r="C70" s="658" t="s">
        <v>37</v>
      </c>
      <c r="D70" s="659">
        <f>D71+D72</f>
        <v>66.525620000000004</v>
      </c>
      <c r="E70" s="660">
        <f t="shared" si="5"/>
        <v>17.006142168735543</v>
      </c>
      <c r="F70" s="661">
        <f>F71+F72</f>
        <v>0.66960674601366033</v>
      </c>
      <c r="G70" s="662">
        <f>G71+G72</f>
        <v>3.0368293235614416</v>
      </c>
      <c r="H70" s="663">
        <f>H71+H72</f>
        <v>13.29970609916044</v>
      </c>
      <c r="I70" s="664">
        <f t="shared" si="33"/>
        <v>49.513813768878556</v>
      </c>
      <c r="J70" s="661">
        <f t="shared" ref="J70:Q70" si="46">J71+J72</f>
        <v>32.071780121538204</v>
      </c>
      <c r="K70" s="662">
        <f t="shared" si="46"/>
        <v>10.89257991480469</v>
      </c>
      <c r="L70" s="663">
        <f t="shared" si="46"/>
        <v>6.5494537325356594</v>
      </c>
      <c r="M70" s="665">
        <f t="shared" si="46"/>
        <v>0</v>
      </c>
      <c r="N70" s="664">
        <f t="shared" si="4"/>
        <v>5.6640623859134098E-3</v>
      </c>
      <c r="O70" s="665">
        <f>O71+O72</f>
        <v>5.6640623859134098E-3</v>
      </c>
      <c r="P70" s="663">
        <f t="shared" si="46"/>
        <v>0</v>
      </c>
      <c r="Q70" s="660">
        <f t="shared" si="46"/>
        <v>0</v>
      </c>
      <c r="R70" s="131"/>
      <c r="S70" s="131"/>
      <c r="T70" s="131"/>
      <c r="U70" s="131"/>
    </row>
    <row r="71" spans="1:21">
      <c r="A71" s="608"/>
      <c r="B71" s="666" t="s">
        <v>610</v>
      </c>
      <c r="C71" s="667" t="s">
        <v>39</v>
      </c>
      <c r="D71" s="718">
        <v>17.55</v>
      </c>
      <c r="E71" s="645">
        <f t="shared" si="5"/>
        <v>4.4863587150530693</v>
      </c>
      <c r="F71" s="640">
        <f t="shared" ref="F71:H72" si="47">IFERROR($D71*F89/100, 0)</f>
        <v>0.17664770944697306</v>
      </c>
      <c r="G71" s="641">
        <f t="shared" si="47"/>
        <v>0.8011402919432139</v>
      </c>
      <c r="H71" s="642">
        <f t="shared" si="47"/>
        <v>3.5085707136628823</v>
      </c>
      <c r="I71" s="644">
        <f t="shared" si="33"/>
        <v>13.06214705919041</v>
      </c>
      <c r="J71" s="640">
        <f t="shared" ref="J71:Q72" si="48">IFERROR($D71*J89/100, 0)</f>
        <v>8.460796624413204</v>
      </c>
      <c r="K71" s="641">
        <f t="shared" si="48"/>
        <v>2.8735512349200554</v>
      </c>
      <c r="L71" s="642">
        <f t="shared" si="48"/>
        <v>1.7277991998571502</v>
      </c>
      <c r="M71" s="643">
        <f t="shared" si="48"/>
        <v>0</v>
      </c>
      <c r="N71" s="644">
        <f t="shared" si="4"/>
        <v>1.4942257565247847E-3</v>
      </c>
      <c r="O71" s="643">
        <f>IFERROR($D71*O89/100, 0)</f>
        <v>1.4942257565247847E-3</v>
      </c>
      <c r="P71" s="642">
        <f t="shared" si="48"/>
        <v>0</v>
      </c>
      <c r="Q71" s="645">
        <f t="shared" si="48"/>
        <v>0</v>
      </c>
      <c r="R71" s="131" t="s">
        <v>1332</v>
      </c>
      <c r="S71" s="131"/>
      <c r="T71" s="131"/>
      <c r="U71" s="131"/>
    </row>
    <row r="72" spans="1:21" ht="27">
      <c r="A72" s="608"/>
      <c r="B72" s="666" t="s">
        <v>611</v>
      </c>
      <c r="C72" s="675" t="s">
        <v>41</v>
      </c>
      <c r="D72" s="719">
        <v>48.975619999999999</v>
      </c>
      <c r="E72" s="645">
        <f t="shared" si="5"/>
        <v>12.519783453682473</v>
      </c>
      <c r="F72" s="640">
        <f t="shared" si="47"/>
        <v>0.49295903656668733</v>
      </c>
      <c r="G72" s="641">
        <f t="shared" si="47"/>
        <v>2.2356890316182279</v>
      </c>
      <c r="H72" s="642">
        <f t="shared" si="47"/>
        <v>9.791135385497558</v>
      </c>
      <c r="I72" s="644">
        <f t="shared" si="33"/>
        <v>36.451666709688148</v>
      </c>
      <c r="J72" s="640">
        <f t="shared" si="48"/>
        <v>23.610983497125002</v>
      </c>
      <c r="K72" s="641">
        <f t="shared" si="48"/>
        <v>8.0190286798846344</v>
      </c>
      <c r="L72" s="642">
        <f t="shared" si="48"/>
        <v>4.821654532678509</v>
      </c>
      <c r="M72" s="643">
        <f t="shared" si="48"/>
        <v>0</v>
      </c>
      <c r="N72" s="644">
        <f t="shared" si="4"/>
        <v>4.1698366293886251E-3</v>
      </c>
      <c r="O72" s="643">
        <f>IFERROR($D72*O90/100, 0)</f>
        <v>4.1698366293886251E-3</v>
      </c>
      <c r="P72" s="642">
        <f t="shared" si="48"/>
        <v>0</v>
      </c>
      <c r="Q72" s="645">
        <f t="shared" si="48"/>
        <v>0</v>
      </c>
      <c r="R72" s="131" t="s">
        <v>1334</v>
      </c>
      <c r="S72" s="131"/>
      <c r="T72" s="131"/>
      <c r="U72" s="131"/>
    </row>
    <row r="73" spans="1:21">
      <c r="A73" s="608"/>
      <c r="B73" s="677" t="s">
        <v>414</v>
      </c>
      <c r="C73" s="678" t="s">
        <v>597</v>
      </c>
      <c r="D73" s="659">
        <f>D74+D75+D76</f>
        <v>0</v>
      </c>
      <c r="E73" s="660">
        <f t="shared" ref="E73:Q73" si="49">E74+E75+E76</f>
        <v>0</v>
      </c>
      <c r="F73" s="661">
        <f t="shared" si="49"/>
        <v>0</v>
      </c>
      <c r="G73" s="662">
        <f t="shared" si="49"/>
        <v>0</v>
      </c>
      <c r="H73" s="663">
        <f t="shared" si="49"/>
        <v>0</v>
      </c>
      <c r="I73" s="664">
        <f t="shared" si="49"/>
        <v>0</v>
      </c>
      <c r="J73" s="661">
        <f t="shared" si="49"/>
        <v>0</v>
      </c>
      <c r="K73" s="662">
        <f t="shared" si="49"/>
        <v>0</v>
      </c>
      <c r="L73" s="663">
        <f t="shared" si="49"/>
        <v>0</v>
      </c>
      <c r="M73" s="665">
        <f t="shared" si="49"/>
        <v>0</v>
      </c>
      <c r="N73" s="664">
        <f t="shared" ref="N73:N132" si="50">+O73+P73</f>
        <v>0</v>
      </c>
      <c r="O73" s="665">
        <f>O74+O75+O76</f>
        <v>0</v>
      </c>
      <c r="P73" s="663">
        <f t="shared" si="49"/>
        <v>0</v>
      </c>
      <c r="Q73" s="660">
        <f t="shared" si="49"/>
        <v>0</v>
      </c>
      <c r="R73" s="131"/>
      <c r="S73" s="131"/>
      <c r="T73" s="131"/>
      <c r="U73" s="131"/>
    </row>
    <row r="74" spans="1:21">
      <c r="A74" s="608"/>
      <c r="B74" s="679" t="s">
        <v>415</v>
      </c>
      <c r="C74" s="675" t="s">
        <v>1352</v>
      </c>
      <c r="D74" s="719">
        <v>0</v>
      </c>
      <c r="E74" s="645">
        <f>SUM(F74:H74)</f>
        <v>0</v>
      </c>
      <c r="F74" s="640">
        <f t="shared" ref="F74:H76" si="51">IFERROR($D74*F91/100, 0)</f>
        <v>0</v>
      </c>
      <c r="G74" s="641">
        <f t="shared" si="51"/>
        <v>0</v>
      </c>
      <c r="H74" s="642">
        <f t="shared" si="51"/>
        <v>0</v>
      </c>
      <c r="I74" s="644">
        <f t="shared" si="33"/>
        <v>0</v>
      </c>
      <c r="J74" s="640">
        <f t="shared" ref="J74:Q76" si="52">IFERROR($D74*J91/100, 0)</f>
        <v>0</v>
      </c>
      <c r="K74" s="641">
        <f t="shared" si="52"/>
        <v>0</v>
      </c>
      <c r="L74" s="642">
        <f t="shared" si="52"/>
        <v>0</v>
      </c>
      <c r="M74" s="643">
        <f t="shared" si="52"/>
        <v>0</v>
      </c>
      <c r="N74" s="644">
        <f t="shared" si="50"/>
        <v>0</v>
      </c>
      <c r="O74" s="643">
        <f>IFERROR($D74*O91/100, 0)</f>
        <v>0</v>
      </c>
      <c r="P74" s="642">
        <f t="shared" si="52"/>
        <v>0</v>
      </c>
      <c r="Q74" s="645">
        <f t="shared" si="52"/>
        <v>0</v>
      </c>
      <c r="R74" s="131" t="s">
        <v>1336</v>
      </c>
      <c r="S74" s="131"/>
      <c r="T74" s="131"/>
      <c r="U74" s="131"/>
    </row>
    <row r="75" spans="1:21">
      <c r="A75" s="608"/>
      <c r="B75" s="666" t="s">
        <v>416</v>
      </c>
      <c r="C75" s="675" t="s">
        <v>1352</v>
      </c>
      <c r="D75" s="719">
        <v>0</v>
      </c>
      <c r="E75" s="645">
        <f>SUM(F75:H75)</f>
        <v>0</v>
      </c>
      <c r="F75" s="640">
        <f t="shared" si="51"/>
        <v>0</v>
      </c>
      <c r="G75" s="641">
        <f t="shared" si="51"/>
        <v>0</v>
      </c>
      <c r="H75" s="642">
        <f t="shared" si="51"/>
        <v>0</v>
      </c>
      <c r="I75" s="644">
        <f t="shared" si="33"/>
        <v>0</v>
      </c>
      <c r="J75" s="640">
        <f t="shared" si="52"/>
        <v>0</v>
      </c>
      <c r="K75" s="641">
        <f t="shared" si="52"/>
        <v>0</v>
      </c>
      <c r="L75" s="642">
        <f t="shared" si="52"/>
        <v>0</v>
      </c>
      <c r="M75" s="643">
        <f t="shared" si="52"/>
        <v>0</v>
      </c>
      <c r="N75" s="644">
        <f t="shared" si="50"/>
        <v>0</v>
      </c>
      <c r="O75" s="643">
        <f>IFERROR($D75*O92/100, 0)</f>
        <v>0</v>
      </c>
      <c r="P75" s="642">
        <f t="shared" si="52"/>
        <v>0</v>
      </c>
      <c r="Q75" s="645">
        <f t="shared" si="52"/>
        <v>0</v>
      </c>
      <c r="R75" s="131" t="s">
        <v>1338</v>
      </c>
      <c r="S75" s="131"/>
      <c r="T75" s="131"/>
      <c r="U75" s="131"/>
    </row>
    <row r="76" spans="1:21" ht="15" thickBot="1">
      <c r="A76" s="608"/>
      <c r="B76" s="720" t="s">
        <v>417</v>
      </c>
      <c r="C76" s="681" t="s">
        <v>1352</v>
      </c>
      <c r="D76" s="718">
        <v>0</v>
      </c>
      <c r="E76" s="721">
        <f>SUM(F76:H76)</f>
        <v>0</v>
      </c>
      <c r="F76" s="722">
        <f t="shared" si="51"/>
        <v>0</v>
      </c>
      <c r="G76" s="723">
        <f t="shared" si="51"/>
        <v>0</v>
      </c>
      <c r="H76" s="724">
        <f t="shared" si="51"/>
        <v>0</v>
      </c>
      <c r="I76" s="725">
        <f t="shared" si="33"/>
        <v>0</v>
      </c>
      <c r="J76" s="722">
        <f t="shared" si="52"/>
        <v>0</v>
      </c>
      <c r="K76" s="723">
        <f t="shared" si="52"/>
        <v>0</v>
      </c>
      <c r="L76" s="724">
        <f t="shared" si="52"/>
        <v>0</v>
      </c>
      <c r="M76" s="726">
        <f t="shared" si="52"/>
        <v>0</v>
      </c>
      <c r="N76" s="725">
        <f t="shared" si="50"/>
        <v>0</v>
      </c>
      <c r="O76" s="726">
        <f>IFERROR($D76*O93/100, 0)</f>
        <v>0</v>
      </c>
      <c r="P76" s="724">
        <f t="shared" si="52"/>
        <v>0</v>
      </c>
      <c r="Q76" s="721">
        <f t="shared" si="52"/>
        <v>0</v>
      </c>
      <c r="R76" s="131" t="s">
        <v>1340</v>
      </c>
      <c r="S76" s="131"/>
      <c r="T76" s="131"/>
      <c r="U76" s="131"/>
    </row>
    <row r="77" spans="1:21" ht="66.599999999999994" thickBot="1">
      <c r="A77" s="608"/>
      <c r="B77" s="727" t="s">
        <v>60</v>
      </c>
      <c r="C77" s="612" t="s">
        <v>612</v>
      </c>
      <c r="D77" s="612" t="s">
        <v>246</v>
      </c>
      <c r="E77" s="613" t="s">
        <v>247</v>
      </c>
      <c r="F77" s="614" t="s">
        <v>248</v>
      </c>
      <c r="G77" s="615" t="s">
        <v>249</v>
      </c>
      <c r="H77" s="616" t="s">
        <v>250</v>
      </c>
      <c r="I77" s="612" t="s">
        <v>251</v>
      </c>
      <c r="J77" s="614" t="s">
        <v>252</v>
      </c>
      <c r="K77" s="615" t="s">
        <v>253</v>
      </c>
      <c r="L77" s="616" t="s">
        <v>254</v>
      </c>
      <c r="M77" s="618" t="s">
        <v>255</v>
      </c>
      <c r="N77" s="619" t="s">
        <v>256</v>
      </c>
      <c r="O77" s="620" t="s">
        <v>586</v>
      </c>
      <c r="P77" s="616" t="s">
        <v>258</v>
      </c>
      <c r="Q77" s="621" t="s">
        <v>259</v>
      </c>
      <c r="R77" s="131"/>
      <c r="S77" s="131"/>
      <c r="T77" s="131"/>
      <c r="U77" s="131"/>
    </row>
    <row r="78" spans="1:21" ht="26.4">
      <c r="A78" s="608" t="s">
        <v>1310</v>
      </c>
      <c r="B78" s="728" t="s">
        <v>62</v>
      </c>
      <c r="C78" s="729" t="s">
        <v>1311</v>
      </c>
      <c r="D78" s="730">
        <f t="shared" ref="D78:D93" si="53">O78+E78+I78+M78+P78+Q78</f>
        <v>100.00000000000001</v>
      </c>
      <c r="E78" s="731">
        <f>SUM(F78:H78)</f>
        <v>25.563297521669909</v>
      </c>
      <c r="F78" s="732">
        <v>1.0065396549685075</v>
      </c>
      <c r="G78" s="733">
        <v>4.5649019483943807</v>
      </c>
      <c r="H78" s="734">
        <v>19.991855918307021</v>
      </c>
      <c r="I78" s="735">
        <f t="shared" ref="I78:I93" si="54">SUM(J78:L78)</f>
        <v>74.42818837145532</v>
      </c>
      <c r="J78" s="732">
        <v>48.209667375573808</v>
      </c>
      <c r="K78" s="733">
        <v>16.373511310085785</v>
      </c>
      <c r="L78" s="734">
        <v>9.845009685795727</v>
      </c>
      <c r="M78" s="736">
        <v>0</v>
      </c>
      <c r="N78" s="737">
        <f t="shared" si="50"/>
        <v>8.5141068747850972E-3</v>
      </c>
      <c r="O78" s="738">
        <v>8.5141068747850972E-3</v>
      </c>
      <c r="P78" s="734">
        <v>0</v>
      </c>
      <c r="Q78" s="739">
        <v>0</v>
      </c>
      <c r="R78" s="131" t="s">
        <v>613</v>
      </c>
      <c r="S78" s="131"/>
      <c r="T78" s="131"/>
      <c r="U78" s="131"/>
    </row>
    <row r="79" spans="1:21" ht="26.4">
      <c r="A79" s="608" t="s">
        <v>1312</v>
      </c>
      <c r="B79" s="740" t="s">
        <v>66</v>
      </c>
      <c r="C79" s="741" t="s">
        <v>1313</v>
      </c>
      <c r="D79" s="742">
        <f t="shared" si="53"/>
        <v>100.00000000000001</v>
      </c>
      <c r="E79" s="743">
        <f t="shared" ref="E79:E93" si="55">SUM(F79:H79)</f>
        <v>25.563297521669909</v>
      </c>
      <c r="F79" s="744">
        <v>1.0065396549685075</v>
      </c>
      <c r="G79" s="745">
        <v>4.5649019483943807</v>
      </c>
      <c r="H79" s="746">
        <v>19.991855918307021</v>
      </c>
      <c r="I79" s="747">
        <f t="shared" si="54"/>
        <v>74.42818837145532</v>
      </c>
      <c r="J79" s="744">
        <v>48.209667375573808</v>
      </c>
      <c r="K79" s="745">
        <v>16.373511310085785</v>
      </c>
      <c r="L79" s="746">
        <v>9.845009685795727</v>
      </c>
      <c r="M79" s="748">
        <v>0</v>
      </c>
      <c r="N79" s="749">
        <f t="shared" si="50"/>
        <v>8.5141068747850972E-3</v>
      </c>
      <c r="O79" s="750">
        <v>8.5141068747850972E-3</v>
      </c>
      <c r="P79" s="746">
        <v>0</v>
      </c>
      <c r="Q79" s="751">
        <v>0</v>
      </c>
      <c r="R79" s="131" t="s">
        <v>614</v>
      </c>
      <c r="S79" s="131"/>
      <c r="T79" s="131"/>
      <c r="U79" s="131"/>
    </row>
    <row r="80" spans="1:21" ht="26.4">
      <c r="A80" s="608" t="s">
        <v>1314</v>
      </c>
      <c r="B80" s="740" t="s">
        <v>68</v>
      </c>
      <c r="C80" s="741" t="s">
        <v>1315</v>
      </c>
      <c r="D80" s="742">
        <f t="shared" si="53"/>
        <v>100.00000000000001</v>
      </c>
      <c r="E80" s="743">
        <f t="shared" si="55"/>
        <v>25.563297521669909</v>
      </c>
      <c r="F80" s="744">
        <v>1.0065396549685075</v>
      </c>
      <c r="G80" s="745">
        <v>4.5649019483943807</v>
      </c>
      <c r="H80" s="746">
        <v>19.991855918307021</v>
      </c>
      <c r="I80" s="747">
        <f t="shared" si="54"/>
        <v>74.42818837145532</v>
      </c>
      <c r="J80" s="744">
        <v>48.209667375573808</v>
      </c>
      <c r="K80" s="745">
        <v>16.373511310085785</v>
      </c>
      <c r="L80" s="746">
        <v>9.845009685795727</v>
      </c>
      <c r="M80" s="748">
        <v>0</v>
      </c>
      <c r="N80" s="749">
        <f t="shared" si="50"/>
        <v>8.5141068747850972E-3</v>
      </c>
      <c r="O80" s="750">
        <v>8.5141068747850972E-3</v>
      </c>
      <c r="P80" s="746">
        <v>0</v>
      </c>
      <c r="Q80" s="751">
        <v>0</v>
      </c>
      <c r="R80" s="131" t="s">
        <v>615</v>
      </c>
      <c r="S80" s="131"/>
      <c r="T80" s="131"/>
      <c r="U80" s="131"/>
    </row>
    <row r="81" spans="1:21" ht="26.4">
      <c r="A81" s="608" t="s">
        <v>1316</v>
      </c>
      <c r="B81" s="752" t="s">
        <v>70</v>
      </c>
      <c r="C81" s="741" t="s">
        <v>1317</v>
      </c>
      <c r="D81" s="742">
        <f t="shared" si="53"/>
        <v>100.00000000000001</v>
      </c>
      <c r="E81" s="743">
        <f t="shared" si="55"/>
        <v>25.563297521669909</v>
      </c>
      <c r="F81" s="744">
        <v>1.0065396549685075</v>
      </c>
      <c r="G81" s="745">
        <v>4.5649019483943807</v>
      </c>
      <c r="H81" s="746">
        <v>19.991855918307021</v>
      </c>
      <c r="I81" s="747">
        <f t="shared" si="54"/>
        <v>74.42818837145532</v>
      </c>
      <c r="J81" s="744">
        <v>48.209667375573808</v>
      </c>
      <c r="K81" s="745">
        <v>16.373511310085785</v>
      </c>
      <c r="L81" s="746">
        <v>9.845009685795727</v>
      </c>
      <c r="M81" s="748">
        <v>0</v>
      </c>
      <c r="N81" s="749">
        <f t="shared" si="50"/>
        <v>8.5141068747850972E-3</v>
      </c>
      <c r="O81" s="750">
        <v>8.5141068747850972E-3</v>
      </c>
      <c r="P81" s="746">
        <v>0</v>
      </c>
      <c r="Q81" s="751">
        <v>0</v>
      </c>
      <c r="R81" s="131" t="s">
        <v>616</v>
      </c>
      <c r="S81" s="131"/>
      <c r="T81" s="131"/>
      <c r="U81" s="131"/>
    </row>
    <row r="82" spans="1:21" ht="26.4">
      <c r="A82" s="608" t="s">
        <v>1318</v>
      </c>
      <c r="B82" s="740" t="s">
        <v>72</v>
      </c>
      <c r="C82" s="741" t="s">
        <v>1319</v>
      </c>
      <c r="D82" s="429">
        <f t="shared" si="53"/>
        <v>100.00000000000001</v>
      </c>
      <c r="E82" s="753">
        <f t="shared" si="55"/>
        <v>25.563297521669909</v>
      </c>
      <c r="F82" s="754">
        <v>1.0065396549685075</v>
      </c>
      <c r="G82" s="755">
        <v>4.5649019483943807</v>
      </c>
      <c r="H82" s="756">
        <v>19.991855918307021</v>
      </c>
      <c r="I82" s="757">
        <f t="shared" si="54"/>
        <v>74.42818837145532</v>
      </c>
      <c r="J82" s="754">
        <v>48.209667375573808</v>
      </c>
      <c r="K82" s="755">
        <v>16.373511310085785</v>
      </c>
      <c r="L82" s="756">
        <v>9.845009685795727</v>
      </c>
      <c r="M82" s="758">
        <v>0</v>
      </c>
      <c r="N82" s="759">
        <f t="shared" si="50"/>
        <v>8.5141068747850972E-3</v>
      </c>
      <c r="O82" s="760">
        <v>8.5141068747850972E-3</v>
      </c>
      <c r="P82" s="756">
        <v>0</v>
      </c>
      <c r="Q82" s="761">
        <v>0</v>
      </c>
      <c r="R82" s="131" t="s">
        <v>617</v>
      </c>
      <c r="S82" s="131"/>
      <c r="T82" s="131"/>
      <c r="U82" s="131"/>
    </row>
    <row r="83" spans="1:21" ht="26.4">
      <c r="A83" s="608" t="s">
        <v>1320</v>
      </c>
      <c r="B83" s="740" t="s">
        <v>458</v>
      </c>
      <c r="C83" s="741" t="s">
        <v>1321</v>
      </c>
      <c r="D83" s="429">
        <f t="shared" si="53"/>
        <v>100.00000000000001</v>
      </c>
      <c r="E83" s="753">
        <f t="shared" si="55"/>
        <v>25.563297521669909</v>
      </c>
      <c r="F83" s="754">
        <v>1.0065396549685075</v>
      </c>
      <c r="G83" s="755">
        <v>4.5649019483943807</v>
      </c>
      <c r="H83" s="756">
        <v>19.991855918307021</v>
      </c>
      <c r="I83" s="757">
        <f t="shared" si="54"/>
        <v>74.42818837145532</v>
      </c>
      <c r="J83" s="754">
        <v>48.209667375573808</v>
      </c>
      <c r="K83" s="755">
        <v>16.373511310085785</v>
      </c>
      <c r="L83" s="756">
        <v>9.845009685795727</v>
      </c>
      <c r="M83" s="758">
        <v>0</v>
      </c>
      <c r="N83" s="759">
        <f t="shared" si="50"/>
        <v>8.5141068747850972E-3</v>
      </c>
      <c r="O83" s="760">
        <v>8.5141068747850972E-3</v>
      </c>
      <c r="P83" s="756">
        <v>0</v>
      </c>
      <c r="Q83" s="761">
        <v>0</v>
      </c>
      <c r="R83" s="131" t="s">
        <v>618</v>
      </c>
      <c r="S83" s="131"/>
      <c r="T83" s="131"/>
      <c r="U83" s="131"/>
    </row>
    <row r="84" spans="1:21" ht="26.4">
      <c r="A84" s="608" t="s">
        <v>1322</v>
      </c>
      <c r="B84" s="740" t="s">
        <v>462</v>
      </c>
      <c r="C84" s="741" t="s">
        <v>1323</v>
      </c>
      <c r="D84" s="429">
        <f t="shared" si="53"/>
        <v>100.00000000000001</v>
      </c>
      <c r="E84" s="753">
        <f t="shared" si="55"/>
        <v>25.563297521669909</v>
      </c>
      <c r="F84" s="754">
        <v>1.0065396549685075</v>
      </c>
      <c r="G84" s="755">
        <v>4.5649019483943807</v>
      </c>
      <c r="H84" s="756">
        <v>19.991855918307021</v>
      </c>
      <c r="I84" s="757">
        <f t="shared" si="54"/>
        <v>74.42818837145532</v>
      </c>
      <c r="J84" s="754">
        <v>48.209667375573808</v>
      </c>
      <c r="K84" s="755">
        <v>16.373511310085785</v>
      </c>
      <c r="L84" s="756">
        <v>9.845009685795727</v>
      </c>
      <c r="M84" s="758">
        <v>0</v>
      </c>
      <c r="N84" s="759">
        <f t="shared" si="50"/>
        <v>8.5141068747850972E-3</v>
      </c>
      <c r="O84" s="760">
        <v>8.5141068747850972E-3</v>
      </c>
      <c r="P84" s="756">
        <v>0</v>
      </c>
      <c r="Q84" s="761">
        <v>0</v>
      </c>
      <c r="R84" s="131" t="s">
        <v>619</v>
      </c>
      <c r="S84" s="131"/>
      <c r="T84" s="131"/>
      <c r="U84" s="131"/>
    </row>
    <row r="85" spans="1:21" ht="26.4">
      <c r="A85" s="608" t="s">
        <v>1324</v>
      </c>
      <c r="B85" s="752" t="s">
        <v>466</v>
      </c>
      <c r="C85" s="741" t="s">
        <v>1325</v>
      </c>
      <c r="D85" s="429">
        <f t="shared" si="53"/>
        <v>100.00000000000001</v>
      </c>
      <c r="E85" s="753">
        <f t="shared" si="55"/>
        <v>25.563297521669909</v>
      </c>
      <c r="F85" s="754">
        <v>1.0065396549685075</v>
      </c>
      <c r="G85" s="755">
        <v>4.5649019483943807</v>
      </c>
      <c r="H85" s="756">
        <v>19.991855918307021</v>
      </c>
      <c r="I85" s="757">
        <f t="shared" si="54"/>
        <v>74.42818837145532</v>
      </c>
      <c r="J85" s="754">
        <v>48.209667375573808</v>
      </c>
      <c r="K85" s="755">
        <v>16.373511310085785</v>
      </c>
      <c r="L85" s="756">
        <v>9.845009685795727</v>
      </c>
      <c r="M85" s="758">
        <v>0</v>
      </c>
      <c r="N85" s="759">
        <f t="shared" si="50"/>
        <v>8.5141068747850972E-3</v>
      </c>
      <c r="O85" s="760">
        <v>8.5141068747850972E-3</v>
      </c>
      <c r="P85" s="756">
        <v>0</v>
      </c>
      <c r="Q85" s="761">
        <v>0</v>
      </c>
      <c r="R85" s="131" t="s">
        <v>620</v>
      </c>
      <c r="S85" s="131"/>
      <c r="T85" s="131"/>
      <c r="U85" s="131"/>
    </row>
    <row r="86" spans="1:21" ht="26.4">
      <c r="A86" s="608" t="s">
        <v>1326</v>
      </c>
      <c r="B86" s="752" t="s">
        <v>470</v>
      </c>
      <c r="C86" s="741" t="s">
        <v>1327</v>
      </c>
      <c r="D86" s="429">
        <f t="shared" si="53"/>
        <v>100.00000000000001</v>
      </c>
      <c r="E86" s="753">
        <f t="shared" si="55"/>
        <v>25.563297521669909</v>
      </c>
      <c r="F86" s="754">
        <v>1.0065396549685075</v>
      </c>
      <c r="G86" s="755">
        <v>4.5649019483943807</v>
      </c>
      <c r="H86" s="756">
        <v>19.991855918307021</v>
      </c>
      <c r="I86" s="757">
        <f t="shared" si="54"/>
        <v>74.42818837145532</v>
      </c>
      <c r="J86" s="754">
        <v>48.209667375573808</v>
      </c>
      <c r="K86" s="755">
        <v>16.373511310085785</v>
      </c>
      <c r="L86" s="756">
        <v>9.845009685795727</v>
      </c>
      <c r="M86" s="758">
        <v>0</v>
      </c>
      <c r="N86" s="759">
        <f t="shared" si="50"/>
        <v>8.5141068747850972E-3</v>
      </c>
      <c r="O86" s="760">
        <v>8.5141068747850972E-3</v>
      </c>
      <c r="P86" s="756">
        <v>0</v>
      </c>
      <c r="Q86" s="761">
        <v>0</v>
      </c>
      <c r="R86" s="131" t="s">
        <v>621</v>
      </c>
      <c r="S86" s="131"/>
      <c r="T86" s="131"/>
      <c r="U86" s="131"/>
    </row>
    <row r="87" spans="1:21" ht="26.4">
      <c r="A87" s="608" t="s">
        <v>1328</v>
      </c>
      <c r="B87" s="752" t="s">
        <v>486</v>
      </c>
      <c r="C87" s="741" t="s">
        <v>1329</v>
      </c>
      <c r="D87" s="429">
        <f t="shared" si="53"/>
        <v>100.00000000000001</v>
      </c>
      <c r="E87" s="753">
        <f t="shared" si="55"/>
        <v>25.563297521669909</v>
      </c>
      <c r="F87" s="754">
        <v>1.0065396549685075</v>
      </c>
      <c r="G87" s="755">
        <v>4.5649019483943807</v>
      </c>
      <c r="H87" s="756">
        <v>19.991855918307021</v>
      </c>
      <c r="I87" s="757">
        <f t="shared" si="54"/>
        <v>74.42818837145532</v>
      </c>
      <c r="J87" s="754">
        <v>48.209667375573808</v>
      </c>
      <c r="K87" s="755">
        <v>16.373511310085785</v>
      </c>
      <c r="L87" s="756">
        <v>9.845009685795727</v>
      </c>
      <c r="M87" s="758">
        <v>0</v>
      </c>
      <c r="N87" s="759">
        <f t="shared" si="50"/>
        <v>8.5141068747850972E-3</v>
      </c>
      <c r="O87" s="760">
        <v>8.5141068747850972E-3</v>
      </c>
      <c r="P87" s="756">
        <v>0</v>
      </c>
      <c r="Q87" s="761">
        <v>0</v>
      </c>
      <c r="R87" s="131" t="s">
        <v>622</v>
      </c>
      <c r="S87" s="131"/>
      <c r="T87" s="131"/>
      <c r="U87" s="131"/>
    </row>
    <row r="88" spans="1:21" ht="26.4">
      <c r="A88" s="608" t="s">
        <v>1330</v>
      </c>
      <c r="B88" s="752" t="s">
        <v>488</v>
      </c>
      <c r="C88" s="741" t="s">
        <v>1331</v>
      </c>
      <c r="D88" s="429">
        <f t="shared" si="53"/>
        <v>100.00000000000001</v>
      </c>
      <c r="E88" s="753">
        <f t="shared" si="55"/>
        <v>25.563297521669909</v>
      </c>
      <c r="F88" s="754">
        <v>1.0065396549685075</v>
      </c>
      <c r="G88" s="755">
        <v>4.5649019483943807</v>
      </c>
      <c r="H88" s="756">
        <v>19.991855918307021</v>
      </c>
      <c r="I88" s="757">
        <f t="shared" si="54"/>
        <v>74.42818837145532</v>
      </c>
      <c r="J88" s="754">
        <v>48.209667375573808</v>
      </c>
      <c r="K88" s="755">
        <v>16.373511310085785</v>
      </c>
      <c r="L88" s="756">
        <v>9.845009685795727</v>
      </c>
      <c r="M88" s="758">
        <v>0</v>
      </c>
      <c r="N88" s="759">
        <f t="shared" si="50"/>
        <v>8.5141068747850972E-3</v>
      </c>
      <c r="O88" s="760">
        <v>8.5141068747850972E-3</v>
      </c>
      <c r="P88" s="756">
        <v>0</v>
      </c>
      <c r="Q88" s="761">
        <v>0</v>
      </c>
      <c r="R88" s="131" t="s">
        <v>623</v>
      </c>
      <c r="S88" s="131"/>
      <c r="T88" s="131"/>
      <c r="U88" s="131"/>
    </row>
    <row r="89" spans="1:21" ht="26.4">
      <c r="A89" s="608" t="s">
        <v>1332</v>
      </c>
      <c r="B89" s="752" t="s">
        <v>624</v>
      </c>
      <c r="C89" s="741" t="s">
        <v>1333</v>
      </c>
      <c r="D89" s="429">
        <f t="shared" si="53"/>
        <v>100.00000000000001</v>
      </c>
      <c r="E89" s="753">
        <f t="shared" si="55"/>
        <v>25.563297521669909</v>
      </c>
      <c r="F89" s="754">
        <v>1.0065396549685075</v>
      </c>
      <c r="G89" s="755">
        <v>4.5649019483943807</v>
      </c>
      <c r="H89" s="756">
        <v>19.991855918307021</v>
      </c>
      <c r="I89" s="757">
        <f t="shared" si="54"/>
        <v>74.42818837145532</v>
      </c>
      <c r="J89" s="754">
        <v>48.209667375573808</v>
      </c>
      <c r="K89" s="755">
        <v>16.373511310085785</v>
      </c>
      <c r="L89" s="756">
        <v>9.845009685795727</v>
      </c>
      <c r="M89" s="758">
        <v>0</v>
      </c>
      <c r="N89" s="759">
        <f t="shared" si="50"/>
        <v>8.5141068747850972E-3</v>
      </c>
      <c r="O89" s="760">
        <v>8.5141068747850972E-3</v>
      </c>
      <c r="P89" s="756">
        <v>0</v>
      </c>
      <c r="Q89" s="761">
        <v>0</v>
      </c>
      <c r="R89" s="131" t="s">
        <v>625</v>
      </c>
      <c r="S89" s="131"/>
      <c r="T89" s="131"/>
      <c r="U89" s="131"/>
    </row>
    <row r="90" spans="1:21" ht="26.4">
      <c r="A90" s="608" t="s">
        <v>1334</v>
      </c>
      <c r="B90" s="752" t="s">
        <v>626</v>
      </c>
      <c r="C90" s="741" t="s">
        <v>1335</v>
      </c>
      <c r="D90" s="429">
        <f t="shared" si="53"/>
        <v>100.00000000000001</v>
      </c>
      <c r="E90" s="753">
        <f t="shared" si="55"/>
        <v>25.563297521669909</v>
      </c>
      <c r="F90" s="754">
        <v>1.0065396549685075</v>
      </c>
      <c r="G90" s="755">
        <v>4.5649019483943807</v>
      </c>
      <c r="H90" s="756">
        <v>19.991855918307021</v>
      </c>
      <c r="I90" s="757">
        <f t="shared" si="54"/>
        <v>74.42818837145532</v>
      </c>
      <c r="J90" s="754">
        <v>48.209667375573808</v>
      </c>
      <c r="K90" s="755">
        <v>16.373511310085785</v>
      </c>
      <c r="L90" s="756">
        <v>9.845009685795727</v>
      </c>
      <c r="M90" s="758">
        <v>0</v>
      </c>
      <c r="N90" s="759">
        <f t="shared" si="50"/>
        <v>8.5141068747850972E-3</v>
      </c>
      <c r="O90" s="760">
        <v>8.5141068747850972E-3</v>
      </c>
      <c r="P90" s="756">
        <v>0</v>
      </c>
      <c r="Q90" s="761">
        <v>0</v>
      </c>
      <c r="R90" s="131" t="s">
        <v>627</v>
      </c>
      <c r="S90" s="131"/>
      <c r="T90" s="131"/>
      <c r="U90" s="131"/>
    </row>
    <row r="91" spans="1:21" ht="26.4">
      <c r="A91" s="608" t="s">
        <v>1336</v>
      </c>
      <c r="B91" s="740" t="s">
        <v>628</v>
      </c>
      <c r="C91" s="741" t="s">
        <v>1337</v>
      </c>
      <c r="D91" s="429">
        <f t="shared" si="53"/>
        <v>100.00000000000001</v>
      </c>
      <c r="E91" s="753">
        <f t="shared" si="55"/>
        <v>25.563297521669909</v>
      </c>
      <c r="F91" s="754">
        <v>1.0065396549685075</v>
      </c>
      <c r="G91" s="755">
        <v>4.5649019483943807</v>
      </c>
      <c r="H91" s="756">
        <v>19.991855918307021</v>
      </c>
      <c r="I91" s="757">
        <f t="shared" si="54"/>
        <v>74.42818837145532</v>
      </c>
      <c r="J91" s="754">
        <v>48.209667375573808</v>
      </c>
      <c r="K91" s="755">
        <v>16.373511310085785</v>
      </c>
      <c r="L91" s="756">
        <v>9.845009685795727</v>
      </c>
      <c r="M91" s="758">
        <v>0</v>
      </c>
      <c r="N91" s="759">
        <f t="shared" si="50"/>
        <v>8.5141068747850972E-3</v>
      </c>
      <c r="O91" s="760">
        <v>8.5141068747850972E-3</v>
      </c>
      <c r="P91" s="756">
        <v>0</v>
      </c>
      <c r="Q91" s="761">
        <v>0</v>
      </c>
      <c r="R91" s="131" t="s">
        <v>629</v>
      </c>
      <c r="S91" s="131"/>
      <c r="T91" s="131"/>
      <c r="U91" s="131"/>
    </row>
    <row r="92" spans="1:21" ht="26.4">
      <c r="A92" s="608" t="s">
        <v>1338</v>
      </c>
      <c r="B92" s="752" t="s">
        <v>630</v>
      </c>
      <c r="C92" s="762" t="s">
        <v>1339</v>
      </c>
      <c r="D92" s="763">
        <f t="shared" si="53"/>
        <v>100.00000000000001</v>
      </c>
      <c r="E92" s="764">
        <f t="shared" si="55"/>
        <v>25.563297521669909</v>
      </c>
      <c r="F92" s="765">
        <v>1.0065396549685075</v>
      </c>
      <c r="G92" s="766">
        <v>4.5649019483943807</v>
      </c>
      <c r="H92" s="767">
        <v>19.991855918307021</v>
      </c>
      <c r="I92" s="768">
        <f t="shared" si="54"/>
        <v>74.42818837145532</v>
      </c>
      <c r="J92" s="765">
        <v>48.209667375573808</v>
      </c>
      <c r="K92" s="766">
        <v>16.373511310085785</v>
      </c>
      <c r="L92" s="767">
        <v>9.845009685795727</v>
      </c>
      <c r="M92" s="769">
        <v>0</v>
      </c>
      <c r="N92" s="770">
        <f t="shared" si="50"/>
        <v>8.5141068747850972E-3</v>
      </c>
      <c r="O92" s="771">
        <v>8.5141068747850972E-3</v>
      </c>
      <c r="P92" s="767">
        <v>0</v>
      </c>
      <c r="Q92" s="772">
        <v>0</v>
      </c>
      <c r="R92" s="131" t="s">
        <v>631</v>
      </c>
      <c r="S92" s="131"/>
      <c r="T92" s="131"/>
      <c r="U92" s="131"/>
    </row>
    <row r="93" spans="1:21" ht="27" thickBot="1">
      <c r="A93" s="608" t="s">
        <v>1340</v>
      </c>
      <c r="B93" s="773" t="s">
        <v>632</v>
      </c>
      <c r="C93" s="774" t="s">
        <v>1341</v>
      </c>
      <c r="D93" s="775">
        <f t="shared" si="53"/>
        <v>100.00000000000001</v>
      </c>
      <c r="E93" s="776">
        <f t="shared" si="55"/>
        <v>25.563297521669909</v>
      </c>
      <c r="F93" s="777">
        <v>1.0065396549685075</v>
      </c>
      <c r="G93" s="778">
        <v>4.5649019483943807</v>
      </c>
      <c r="H93" s="779">
        <v>19.991855918307021</v>
      </c>
      <c r="I93" s="780">
        <f t="shared" si="54"/>
        <v>74.42818837145532</v>
      </c>
      <c r="J93" s="777">
        <v>48.209667375573808</v>
      </c>
      <c r="K93" s="778">
        <v>16.373511310085785</v>
      </c>
      <c r="L93" s="779">
        <v>9.845009685795727</v>
      </c>
      <c r="M93" s="781">
        <v>0</v>
      </c>
      <c r="N93" s="782">
        <f t="shared" si="50"/>
        <v>8.5141068747850972E-3</v>
      </c>
      <c r="O93" s="781">
        <v>8.5141068747850972E-3</v>
      </c>
      <c r="P93" s="779">
        <v>0</v>
      </c>
      <c r="Q93" s="783">
        <v>0</v>
      </c>
      <c r="R93" s="131" t="s">
        <v>633</v>
      </c>
      <c r="S93" s="131"/>
      <c r="T93" s="131"/>
      <c r="U93" s="131"/>
    </row>
    <row r="94" spans="1:21" ht="15.6" thickTop="1" thickBot="1">
      <c r="A94" s="608" t="s">
        <v>634</v>
      </c>
      <c r="B94" s="622" t="s">
        <v>74</v>
      </c>
      <c r="C94" s="623" t="s">
        <v>635</v>
      </c>
      <c r="D94" s="784">
        <f>D95+D99+D104+D106+D109+D112</f>
        <v>121.1319</v>
      </c>
      <c r="E94" s="785">
        <f t="shared" ref="E94:Q94" si="56">E95+E99+E104+E106+E109+E112</f>
        <v>34.531810925443416</v>
      </c>
      <c r="F94" s="786">
        <f t="shared" si="56"/>
        <v>6.8711493967788027</v>
      </c>
      <c r="G94" s="787">
        <f t="shared" si="56"/>
        <v>5.6900477070231954</v>
      </c>
      <c r="H94" s="788">
        <f t="shared" si="56"/>
        <v>21.970613821641418</v>
      </c>
      <c r="I94" s="784">
        <f t="shared" si="56"/>
        <v>78.643849242041838</v>
      </c>
      <c r="J94" s="786">
        <f t="shared" si="56"/>
        <v>36.575177390483766</v>
      </c>
      <c r="K94" s="787">
        <f t="shared" si="56"/>
        <v>31.438382991586312</v>
      </c>
      <c r="L94" s="788">
        <f t="shared" si="56"/>
        <v>10.630288859971754</v>
      </c>
      <c r="M94" s="789">
        <f t="shared" si="56"/>
        <v>0.40308241046445847</v>
      </c>
      <c r="N94" s="784">
        <f t="shared" si="50"/>
        <v>4.1660243346436152</v>
      </c>
      <c r="O94" s="789">
        <f>O95+O99+O104+O106+O109+O112</f>
        <v>4.1660243346436152</v>
      </c>
      <c r="P94" s="788">
        <f t="shared" si="56"/>
        <v>0</v>
      </c>
      <c r="Q94" s="785">
        <f t="shared" si="56"/>
        <v>3.3871330874067063</v>
      </c>
      <c r="R94" s="131"/>
      <c r="S94" s="131"/>
      <c r="T94" s="131"/>
      <c r="U94" s="131"/>
    </row>
    <row r="95" spans="1:21" ht="15" thickTop="1">
      <c r="A95" s="608"/>
      <c r="B95" s="630" t="s">
        <v>491</v>
      </c>
      <c r="C95" s="631" t="s">
        <v>6</v>
      </c>
      <c r="D95" s="790">
        <f>SUM(D96:D98)</f>
        <v>0</v>
      </c>
      <c r="E95" s="791">
        <f>SUM(F95:H95)</f>
        <v>0</v>
      </c>
      <c r="F95" s="792">
        <f>SUM(F96:F98)</f>
        <v>0</v>
      </c>
      <c r="G95" s="793">
        <f>SUM(G96:G98)</f>
        <v>0</v>
      </c>
      <c r="H95" s="794">
        <f>SUM(H96:H98)</f>
        <v>0</v>
      </c>
      <c r="I95" s="790">
        <f t="shared" ref="I95:I115" si="57">SUM(J95:L95)</f>
        <v>0</v>
      </c>
      <c r="J95" s="792">
        <f t="shared" ref="J95:Q95" si="58">SUM(J96:J98)</f>
        <v>0</v>
      </c>
      <c r="K95" s="793">
        <f t="shared" si="58"/>
        <v>0</v>
      </c>
      <c r="L95" s="794">
        <f t="shared" si="58"/>
        <v>0</v>
      </c>
      <c r="M95" s="795">
        <f t="shared" si="58"/>
        <v>0</v>
      </c>
      <c r="N95" s="790">
        <f t="shared" si="50"/>
        <v>0</v>
      </c>
      <c r="O95" s="795">
        <f>SUM(O96:O98)</f>
        <v>0</v>
      </c>
      <c r="P95" s="794">
        <f t="shared" si="58"/>
        <v>0</v>
      </c>
      <c r="Q95" s="791">
        <f t="shared" si="58"/>
        <v>0</v>
      </c>
      <c r="R95" s="131"/>
      <c r="S95" s="131"/>
      <c r="T95" s="131"/>
      <c r="U95" s="131"/>
    </row>
    <row r="96" spans="1:21">
      <c r="A96" s="608"/>
      <c r="B96" s="638" t="s">
        <v>492</v>
      </c>
      <c r="C96" s="639" t="s">
        <v>8</v>
      </c>
      <c r="D96" s="796">
        <v>0</v>
      </c>
      <c r="E96" s="797">
        <f>SUM(F96:H96)</f>
        <v>0</v>
      </c>
      <c r="F96" s="798">
        <f>IFERROR($D96*F117/100, 0)</f>
        <v>0</v>
      </c>
      <c r="G96" s="799">
        <f t="shared" ref="F96:H98" si="59">IFERROR($D96*G117/100, 0)</f>
        <v>0</v>
      </c>
      <c r="H96" s="800">
        <f t="shared" si="59"/>
        <v>0</v>
      </c>
      <c r="I96" s="439">
        <f t="shared" si="57"/>
        <v>0</v>
      </c>
      <c r="J96" s="798">
        <f t="shared" ref="J96:Q98" si="60">IFERROR($D96*J117/100, 0)</f>
        <v>0</v>
      </c>
      <c r="K96" s="799">
        <f t="shared" si="60"/>
        <v>0</v>
      </c>
      <c r="L96" s="800">
        <f t="shared" si="60"/>
        <v>0</v>
      </c>
      <c r="M96" s="801">
        <f t="shared" si="60"/>
        <v>0</v>
      </c>
      <c r="N96" s="439">
        <f t="shared" si="50"/>
        <v>0</v>
      </c>
      <c r="O96" s="801">
        <f>IFERROR($D96*O117/100, 0)</f>
        <v>0</v>
      </c>
      <c r="P96" s="800">
        <f t="shared" si="60"/>
        <v>0</v>
      </c>
      <c r="Q96" s="797">
        <f t="shared" si="60"/>
        <v>0</v>
      </c>
      <c r="R96" s="131" t="s">
        <v>1310</v>
      </c>
      <c r="S96" s="131"/>
      <c r="T96" s="131"/>
      <c r="U96" s="131"/>
    </row>
    <row r="97" spans="1:21">
      <c r="A97" s="608"/>
      <c r="B97" s="638" t="s">
        <v>636</v>
      </c>
      <c r="C97" s="639" t="s">
        <v>9</v>
      </c>
      <c r="D97" s="796">
        <v>0</v>
      </c>
      <c r="E97" s="797">
        <f t="shared" ref="E97:E111" si="61">SUM(F97:H97)</f>
        <v>0</v>
      </c>
      <c r="F97" s="798">
        <f t="shared" si="59"/>
        <v>0</v>
      </c>
      <c r="G97" s="799">
        <f t="shared" si="59"/>
        <v>0</v>
      </c>
      <c r="H97" s="800">
        <f t="shared" si="59"/>
        <v>0</v>
      </c>
      <c r="I97" s="439">
        <f t="shared" si="57"/>
        <v>0</v>
      </c>
      <c r="J97" s="798">
        <f t="shared" si="60"/>
        <v>0</v>
      </c>
      <c r="K97" s="799">
        <f t="shared" si="60"/>
        <v>0</v>
      </c>
      <c r="L97" s="800">
        <f t="shared" si="60"/>
        <v>0</v>
      </c>
      <c r="M97" s="801">
        <f t="shared" si="60"/>
        <v>0</v>
      </c>
      <c r="N97" s="439">
        <f t="shared" si="50"/>
        <v>0</v>
      </c>
      <c r="O97" s="801">
        <f>IFERROR($D97*O118/100, 0)</f>
        <v>0</v>
      </c>
      <c r="P97" s="800">
        <f t="shared" si="60"/>
        <v>0</v>
      </c>
      <c r="Q97" s="797">
        <f t="shared" si="60"/>
        <v>0</v>
      </c>
      <c r="R97" s="131" t="s">
        <v>1312</v>
      </c>
      <c r="S97" s="131"/>
      <c r="T97" s="131"/>
      <c r="U97" s="131"/>
    </row>
    <row r="98" spans="1:21">
      <c r="A98" s="608"/>
      <c r="B98" s="638" t="s">
        <v>637</v>
      </c>
      <c r="C98" s="639" t="s">
        <v>11</v>
      </c>
      <c r="D98" s="796">
        <v>0</v>
      </c>
      <c r="E98" s="797">
        <f t="shared" si="61"/>
        <v>0</v>
      </c>
      <c r="F98" s="798">
        <f t="shared" si="59"/>
        <v>0</v>
      </c>
      <c r="G98" s="799">
        <f t="shared" si="59"/>
        <v>0</v>
      </c>
      <c r="H98" s="800">
        <f t="shared" si="59"/>
        <v>0</v>
      </c>
      <c r="I98" s="439">
        <f t="shared" si="57"/>
        <v>0</v>
      </c>
      <c r="J98" s="798">
        <f t="shared" si="60"/>
        <v>0</v>
      </c>
      <c r="K98" s="799">
        <f t="shared" si="60"/>
        <v>0</v>
      </c>
      <c r="L98" s="800">
        <f t="shared" si="60"/>
        <v>0</v>
      </c>
      <c r="M98" s="801">
        <f t="shared" si="60"/>
        <v>0</v>
      </c>
      <c r="N98" s="439">
        <f t="shared" si="50"/>
        <v>0</v>
      </c>
      <c r="O98" s="801">
        <f>IFERROR($D98*O119/100, 0)</f>
        <v>0</v>
      </c>
      <c r="P98" s="800">
        <f t="shared" si="60"/>
        <v>0</v>
      </c>
      <c r="Q98" s="797">
        <f t="shared" si="60"/>
        <v>0</v>
      </c>
      <c r="R98" s="131" t="s">
        <v>1314</v>
      </c>
      <c r="S98" s="131"/>
      <c r="T98" s="131"/>
      <c r="U98" s="131"/>
    </row>
    <row r="99" spans="1:21">
      <c r="A99" s="608"/>
      <c r="B99" s="630" t="s">
        <v>164</v>
      </c>
      <c r="C99" s="646" t="s">
        <v>13</v>
      </c>
      <c r="D99" s="790">
        <f>SUM(D100:D103)</f>
        <v>121.1319</v>
      </c>
      <c r="E99" s="791">
        <f t="shared" si="61"/>
        <v>34.531810925443416</v>
      </c>
      <c r="F99" s="792">
        <f>SUM(F100:F103)</f>
        <v>6.8711493967788027</v>
      </c>
      <c r="G99" s="793">
        <f>SUM(G100:G103)</f>
        <v>5.6900477070231954</v>
      </c>
      <c r="H99" s="794">
        <f>SUM(H100:H103)</f>
        <v>21.970613821641418</v>
      </c>
      <c r="I99" s="790">
        <f t="shared" si="57"/>
        <v>78.643849242041838</v>
      </c>
      <c r="J99" s="792">
        <f t="shared" ref="J99:Q99" si="62">SUM(J100:J103)</f>
        <v>36.575177390483766</v>
      </c>
      <c r="K99" s="793">
        <f t="shared" si="62"/>
        <v>31.438382991586312</v>
      </c>
      <c r="L99" s="794">
        <f t="shared" si="62"/>
        <v>10.630288859971754</v>
      </c>
      <c r="M99" s="795">
        <f t="shared" si="62"/>
        <v>0.40308241046445847</v>
      </c>
      <c r="N99" s="790">
        <f t="shared" si="50"/>
        <v>4.1660243346436152</v>
      </c>
      <c r="O99" s="795">
        <f>SUM(O100:O103)</f>
        <v>4.1660243346436152</v>
      </c>
      <c r="P99" s="794">
        <f t="shared" si="62"/>
        <v>0</v>
      </c>
      <c r="Q99" s="791">
        <f t="shared" si="62"/>
        <v>3.3871330874067063</v>
      </c>
      <c r="R99" s="131"/>
      <c r="S99" s="131"/>
      <c r="T99" s="131"/>
      <c r="U99" s="131"/>
    </row>
    <row r="100" spans="1:21">
      <c r="A100" s="608"/>
      <c r="B100" s="638" t="s">
        <v>493</v>
      </c>
      <c r="C100" s="639" t="s">
        <v>15</v>
      </c>
      <c r="D100" s="796">
        <v>114.68271</v>
      </c>
      <c r="E100" s="797">
        <f t="shared" si="61"/>
        <v>32.693300923517739</v>
      </c>
      <c r="F100" s="798">
        <f t="shared" ref="F100:H103" si="63">IFERROR($D100*F120/100, 0)</f>
        <v>6.5053221623491284</v>
      </c>
      <c r="G100" s="799">
        <f t="shared" si="63"/>
        <v>5.387103571154304</v>
      </c>
      <c r="H100" s="800">
        <f t="shared" si="63"/>
        <v>20.80087519001431</v>
      </c>
      <c r="I100" s="439">
        <f t="shared" si="57"/>
        <v>74.456767836621083</v>
      </c>
      <c r="J100" s="798">
        <f t="shared" ref="J100:Q103" si="64">IFERROR($D100*J120/100, 0)</f>
        <v>34.627876404740668</v>
      </c>
      <c r="K100" s="799">
        <f t="shared" si="64"/>
        <v>29.764570352591065</v>
      </c>
      <c r="L100" s="800">
        <f t="shared" si="64"/>
        <v>10.064321079289364</v>
      </c>
      <c r="M100" s="801">
        <f t="shared" si="64"/>
        <v>0.38162187817904664</v>
      </c>
      <c r="N100" s="439">
        <f t="shared" si="50"/>
        <v>3.9442208090756994</v>
      </c>
      <c r="O100" s="801">
        <f>IFERROR($D100*O120/100, 0)</f>
        <v>3.9442208090756994</v>
      </c>
      <c r="P100" s="800">
        <f t="shared" si="64"/>
        <v>0</v>
      </c>
      <c r="Q100" s="797">
        <f t="shared" si="64"/>
        <v>3.2067985526064393</v>
      </c>
      <c r="R100" s="131" t="s">
        <v>1316</v>
      </c>
      <c r="S100" s="131"/>
      <c r="T100" s="131"/>
      <c r="U100" s="131"/>
    </row>
    <row r="101" spans="1:21">
      <c r="A101" s="608"/>
      <c r="B101" s="638" t="s">
        <v>494</v>
      </c>
      <c r="C101" s="639" t="s">
        <v>589</v>
      </c>
      <c r="D101" s="796">
        <v>0</v>
      </c>
      <c r="E101" s="797">
        <f t="shared" si="61"/>
        <v>0</v>
      </c>
      <c r="F101" s="798">
        <f t="shared" si="63"/>
        <v>0</v>
      </c>
      <c r="G101" s="799">
        <f t="shared" si="63"/>
        <v>0</v>
      </c>
      <c r="H101" s="800">
        <f t="shared" si="63"/>
        <v>0</v>
      </c>
      <c r="I101" s="439">
        <f t="shared" si="57"/>
        <v>0</v>
      </c>
      <c r="J101" s="798">
        <f t="shared" si="64"/>
        <v>0</v>
      </c>
      <c r="K101" s="799">
        <f t="shared" si="64"/>
        <v>0</v>
      </c>
      <c r="L101" s="800">
        <f t="shared" si="64"/>
        <v>0</v>
      </c>
      <c r="M101" s="801">
        <f t="shared" si="64"/>
        <v>0</v>
      </c>
      <c r="N101" s="439">
        <f t="shared" si="50"/>
        <v>0</v>
      </c>
      <c r="O101" s="801">
        <f>IFERROR($D101*O121/100, 0)</f>
        <v>0</v>
      </c>
      <c r="P101" s="800">
        <f t="shared" si="64"/>
        <v>0</v>
      </c>
      <c r="Q101" s="797">
        <f t="shared" si="64"/>
        <v>0</v>
      </c>
      <c r="R101" s="507" t="s">
        <v>1353</v>
      </c>
      <c r="S101" s="507" t="s">
        <v>1354</v>
      </c>
      <c r="T101" s="507" t="s">
        <v>1355</v>
      </c>
      <c r="U101" s="507" t="s">
        <v>1356</v>
      </c>
    </row>
    <row r="102" spans="1:21">
      <c r="A102" s="608"/>
      <c r="B102" s="638" t="s">
        <v>638</v>
      </c>
      <c r="C102" s="639" t="s">
        <v>21</v>
      </c>
      <c r="D102" s="796">
        <v>0</v>
      </c>
      <c r="E102" s="797">
        <f t="shared" si="61"/>
        <v>0</v>
      </c>
      <c r="F102" s="798">
        <f t="shared" si="63"/>
        <v>0</v>
      </c>
      <c r="G102" s="799">
        <f t="shared" si="63"/>
        <v>0</v>
      </c>
      <c r="H102" s="800">
        <f t="shared" si="63"/>
        <v>0</v>
      </c>
      <c r="I102" s="439">
        <f t="shared" si="57"/>
        <v>0</v>
      </c>
      <c r="J102" s="798">
        <f t="shared" si="64"/>
        <v>0</v>
      </c>
      <c r="K102" s="799">
        <f t="shared" si="64"/>
        <v>0</v>
      </c>
      <c r="L102" s="800">
        <f t="shared" si="64"/>
        <v>0</v>
      </c>
      <c r="M102" s="801">
        <f t="shared" si="64"/>
        <v>0</v>
      </c>
      <c r="N102" s="439">
        <f t="shared" si="50"/>
        <v>0</v>
      </c>
      <c r="O102" s="801">
        <f>IFERROR($D102*O122/100, 0)</f>
        <v>0</v>
      </c>
      <c r="P102" s="800">
        <f t="shared" si="64"/>
        <v>0</v>
      </c>
      <c r="Q102" s="797">
        <f t="shared" si="64"/>
        <v>0</v>
      </c>
      <c r="R102" s="507" t="s">
        <v>1320</v>
      </c>
      <c r="S102" s="131"/>
      <c r="T102" s="131"/>
      <c r="U102" s="131"/>
    </row>
    <row r="103" spans="1:21">
      <c r="A103" s="608"/>
      <c r="B103" s="638" t="s">
        <v>639</v>
      </c>
      <c r="C103" s="639" t="s">
        <v>640</v>
      </c>
      <c r="D103" s="796">
        <v>6.4491899999999998</v>
      </c>
      <c r="E103" s="797">
        <f t="shared" si="61"/>
        <v>1.8385100019256728</v>
      </c>
      <c r="F103" s="798">
        <f t="shared" si="63"/>
        <v>0.36582723442967457</v>
      </c>
      <c r="G103" s="799">
        <f t="shared" si="63"/>
        <v>0.30294413586889096</v>
      </c>
      <c r="H103" s="800">
        <f t="shared" si="63"/>
        <v>1.1697386316271072</v>
      </c>
      <c r="I103" s="439">
        <f t="shared" si="57"/>
        <v>4.1870814054207335</v>
      </c>
      <c r="J103" s="798">
        <f t="shared" si="64"/>
        <v>1.9473009857430947</v>
      </c>
      <c r="K103" s="799">
        <f t="shared" si="64"/>
        <v>1.6738126389952483</v>
      </c>
      <c r="L103" s="800">
        <f t="shared" si="64"/>
        <v>0.5659677806823904</v>
      </c>
      <c r="M103" s="801">
        <f t="shared" si="64"/>
        <v>2.1460532285411862E-2</v>
      </c>
      <c r="N103" s="439">
        <f t="shared" si="50"/>
        <v>0.2218035255679161</v>
      </c>
      <c r="O103" s="801">
        <f>IFERROR($D103*O123/100, 0)</f>
        <v>0.2218035255679161</v>
      </c>
      <c r="P103" s="800">
        <f t="shared" si="64"/>
        <v>0</v>
      </c>
      <c r="Q103" s="797">
        <f t="shared" si="64"/>
        <v>0.18033453480026693</v>
      </c>
      <c r="R103" s="507" t="s">
        <v>1322</v>
      </c>
      <c r="S103" s="131"/>
      <c r="T103" s="131"/>
      <c r="U103" s="131"/>
    </row>
    <row r="104" spans="1:21">
      <c r="A104" s="608"/>
      <c r="B104" s="630" t="s">
        <v>166</v>
      </c>
      <c r="C104" s="647" t="s">
        <v>25</v>
      </c>
      <c r="D104" s="790">
        <f>D105</f>
        <v>0</v>
      </c>
      <c r="E104" s="791">
        <f t="shared" si="61"/>
        <v>0</v>
      </c>
      <c r="F104" s="792">
        <f>F105</f>
        <v>0</v>
      </c>
      <c r="G104" s="793">
        <f>G105</f>
        <v>0</v>
      </c>
      <c r="H104" s="794">
        <f>H105</f>
        <v>0</v>
      </c>
      <c r="I104" s="790">
        <f t="shared" si="57"/>
        <v>0</v>
      </c>
      <c r="J104" s="792">
        <f t="shared" ref="J104:Q104" si="65">J105</f>
        <v>0</v>
      </c>
      <c r="K104" s="793">
        <f t="shared" si="65"/>
        <v>0</v>
      </c>
      <c r="L104" s="794">
        <f t="shared" si="65"/>
        <v>0</v>
      </c>
      <c r="M104" s="795">
        <f t="shared" si="65"/>
        <v>0</v>
      </c>
      <c r="N104" s="790">
        <f t="shared" si="50"/>
        <v>0</v>
      </c>
      <c r="O104" s="795">
        <f>O105</f>
        <v>0</v>
      </c>
      <c r="P104" s="794">
        <f t="shared" si="65"/>
        <v>0</v>
      </c>
      <c r="Q104" s="791">
        <f t="shared" si="65"/>
        <v>0</v>
      </c>
      <c r="R104" s="131"/>
      <c r="S104" s="131"/>
      <c r="T104" s="131"/>
      <c r="U104" s="131"/>
    </row>
    <row r="105" spans="1:21">
      <c r="A105" s="608"/>
      <c r="B105" s="638" t="s">
        <v>495</v>
      </c>
      <c r="C105" s="648" t="s">
        <v>641</v>
      </c>
      <c r="D105" s="796">
        <v>0</v>
      </c>
      <c r="E105" s="797">
        <f t="shared" si="61"/>
        <v>0</v>
      </c>
      <c r="F105" s="798">
        <f>IFERROR($D105*F124/100, 0)</f>
        <v>0</v>
      </c>
      <c r="G105" s="799">
        <f>IFERROR($D105*G124/100, 0)</f>
        <v>0</v>
      </c>
      <c r="H105" s="800">
        <f>IFERROR($D105*H124/100, 0)</f>
        <v>0</v>
      </c>
      <c r="I105" s="439">
        <f t="shared" si="57"/>
        <v>0</v>
      </c>
      <c r="J105" s="798">
        <f t="shared" ref="J105:Q105" si="66">IFERROR($D105*J124/100, 0)</f>
        <v>0</v>
      </c>
      <c r="K105" s="799">
        <f t="shared" si="66"/>
        <v>0</v>
      </c>
      <c r="L105" s="800">
        <f t="shared" si="66"/>
        <v>0</v>
      </c>
      <c r="M105" s="801">
        <f t="shared" si="66"/>
        <v>0</v>
      </c>
      <c r="N105" s="439">
        <f t="shared" si="50"/>
        <v>0</v>
      </c>
      <c r="O105" s="801">
        <f>IFERROR($D105*O124/100, 0)</f>
        <v>0</v>
      </c>
      <c r="P105" s="800">
        <f t="shared" si="66"/>
        <v>0</v>
      </c>
      <c r="Q105" s="797">
        <f t="shared" si="66"/>
        <v>0</v>
      </c>
      <c r="R105" s="507" t="s">
        <v>1324</v>
      </c>
      <c r="S105" s="131"/>
      <c r="T105" s="131"/>
      <c r="U105" s="131"/>
    </row>
    <row r="106" spans="1:21">
      <c r="A106" s="608"/>
      <c r="B106" s="630" t="s">
        <v>168</v>
      </c>
      <c r="C106" s="647" t="s">
        <v>31</v>
      </c>
      <c r="D106" s="790">
        <f>D107+D108</f>
        <v>0</v>
      </c>
      <c r="E106" s="791">
        <f t="shared" si="61"/>
        <v>0</v>
      </c>
      <c r="F106" s="792">
        <f>F107+F108</f>
        <v>0</v>
      </c>
      <c r="G106" s="793">
        <f>G107+G108</f>
        <v>0</v>
      </c>
      <c r="H106" s="794">
        <f>H107+H108</f>
        <v>0</v>
      </c>
      <c r="I106" s="790">
        <f t="shared" si="57"/>
        <v>0</v>
      </c>
      <c r="J106" s="792">
        <f t="shared" ref="J106:Q106" si="67">J107+J108</f>
        <v>0</v>
      </c>
      <c r="K106" s="793">
        <f t="shared" si="67"/>
        <v>0</v>
      </c>
      <c r="L106" s="794">
        <f t="shared" si="67"/>
        <v>0</v>
      </c>
      <c r="M106" s="795">
        <f t="shared" si="67"/>
        <v>0</v>
      </c>
      <c r="N106" s="790">
        <f t="shared" si="50"/>
        <v>0</v>
      </c>
      <c r="O106" s="795">
        <f>O107+O108</f>
        <v>0</v>
      </c>
      <c r="P106" s="794">
        <f t="shared" si="67"/>
        <v>0</v>
      </c>
      <c r="Q106" s="791">
        <f t="shared" si="67"/>
        <v>0</v>
      </c>
      <c r="R106" s="507"/>
      <c r="S106" s="131"/>
      <c r="T106" s="131"/>
      <c r="U106" s="131"/>
    </row>
    <row r="107" spans="1:21">
      <c r="A107" s="608"/>
      <c r="B107" s="649" t="s">
        <v>496</v>
      </c>
      <c r="C107" s="648" t="s">
        <v>594</v>
      </c>
      <c r="D107" s="796">
        <v>0</v>
      </c>
      <c r="E107" s="797">
        <f t="shared" si="61"/>
        <v>0</v>
      </c>
      <c r="F107" s="798">
        <f t="shared" ref="F107:H108" si="68">IFERROR($D107*F125/100, 0)</f>
        <v>0</v>
      </c>
      <c r="G107" s="799">
        <f t="shared" si="68"/>
        <v>0</v>
      </c>
      <c r="H107" s="800">
        <f t="shared" si="68"/>
        <v>0</v>
      </c>
      <c r="I107" s="439">
        <f t="shared" si="57"/>
        <v>0</v>
      </c>
      <c r="J107" s="798">
        <f t="shared" ref="J107:Q108" si="69">IFERROR($D107*J125/100, 0)</f>
        <v>0</v>
      </c>
      <c r="K107" s="799">
        <f t="shared" si="69"/>
        <v>0</v>
      </c>
      <c r="L107" s="800">
        <f t="shared" si="69"/>
        <v>0</v>
      </c>
      <c r="M107" s="801">
        <f t="shared" si="69"/>
        <v>0</v>
      </c>
      <c r="N107" s="439">
        <f t="shared" si="50"/>
        <v>0</v>
      </c>
      <c r="O107" s="801">
        <f>IFERROR($D107*O125/100, 0)</f>
        <v>0</v>
      </c>
      <c r="P107" s="800">
        <f t="shared" si="69"/>
        <v>0</v>
      </c>
      <c r="Q107" s="797">
        <f t="shared" si="69"/>
        <v>0</v>
      </c>
      <c r="R107" s="507" t="s">
        <v>1328</v>
      </c>
      <c r="S107" s="131"/>
      <c r="T107" s="131"/>
      <c r="U107" s="131"/>
    </row>
    <row r="108" spans="1:21" ht="27">
      <c r="A108" s="608"/>
      <c r="B108" s="649" t="s">
        <v>497</v>
      </c>
      <c r="C108" s="701" t="s">
        <v>596</v>
      </c>
      <c r="D108" s="796">
        <v>0</v>
      </c>
      <c r="E108" s="797">
        <f t="shared" si="61"/>
        <v>0</v>
      </c>
      <c r="F108" s="798">
        <f t="shared" si="68"/>
        <v>0</v>
      </c>
      <c r="G108" s="799">
        <f t="shared" si="68"/>
        <v>0</v>
      </c>
      <c r="H108" s="800">
        <f t="shared" si="68"/>
        <v>0</v>
      </c>
      <c r="I108" s="439">
        <f t="shared" si="57"/>
        <v>0</v>
      </c>
      <c r="J108" s="798">
        <f t="shared" si="69"/>
        <v>0</v>
      </c>
      <c r="K108" s="799">
        <f t="shared" si="69"/>
        <v>0</v>
      </c>
      <c r="L108" s="800">
        <f t="shared" si="69"/>
        <v>0</v>
      </c>
      <c r="M108" s="801">
        <f t="shared" si="69"/>
        <v>0</v>
      </c>
      <c r="N108" s="439">
        <f t="shared" si="50"/>
        <v>0</v>
      </c>
      <c r="O108" s="801">
        <f>IFERROR($D108*O126/100, 0)</f>
        <v>0</v>
      </c>
      <c r="P108" s="800">
        <f t="shared" si="69"/>
        <v>0</v>
      </c>
      <c r="Q108" s="797">
        <f t="shared" si="69"/>
        <v>0</v>
      </c>
      <c r="R108" s="507" t="s">
        <v>1330</v>
      </c>
      <c r="S108" s="131"/>
      <c r="T108" s="131"/>
      <c r="U108" s="131"/>
    </row>
    <row r="109" spans="1:21">
      <c r="A109" s="608"/>
      <c r="B109" s="630" t="s">
        <v>170</v>
      </c>
      <c r="C109" s="658" t="s">
        <v>37</v>
      </c>
      <c r="D109" s="802">
        <f>D110+D111</f>
        <v>0</v>
      </c>
      <c r="E109" s="803">
        <f t="shared" si="61"/>
        <v>0</v>
      </c>
      <c r="F109" s="804">
        <f>F110+F111</f>
        <v>0</v>
      </c>
      <c r="G109" s="805">
        <f>G110+G111</f>
        <v>0</v>
      </c>
      <c r="H109" s="806">
        <f>H110+H111</f>
        <v>0</v>
      </c>
      <c r="I109" s="807">
        <f t="shared" si="57"/>
        <v>0</v>
      </c>
      <c r="J109" s="804">
        <f t="shared" ref="J109:Q109" si="70">J110+J111</f>
        <v>0</v>
      </c>
      <c r="K109" s="805">
        <f t="shared" si="70"/>
        <v>0</v>
      </c>
      <c r="L109" s="806">
        <f t="shared" si="70"/>
        <v>0</v>
      </c>
      <c r="M109" s="808">
        <f t="shared" si="70"/>
        <v>0</v>
      </c>
      <c r="N109" s="807">
        <f t="shared" si="50"/>
        <v>0</v>
      </c>
      <c r="O109" s="808">
        <f>O110+O111</f>
        <v>0</v>
      </c>
      <c r="P109" s="806">
        <f t="shared" si="70"/>
        <v>0</v>
      </c>
      <c r="Q109" s="803">
        <f t="shared" si="70"/>
        <v>0</v>
      </c>
      <c r="R109" s="507"/>
      <c r="S109" s="131"/>
      <c r="T109" s="131"/>
      <c r="U109" s="131"/>
    </row>
    <row r="110" spans="1:21">
      <c r="A110" s="608"/>
      <c r="B110" s="666" t="s">
        <v>642</v>
      </c>
      <c r="C110" s="667" t="s">
        <v>39</v>
      </c>
      <c r="D110" s="809">
        <v>0</v>
      </c>
      <c r="E110" s="797">
        <f t="shared" si="61"/>
        <v>0</v>
      </c>
      <c r="F110" s="798">
        <f t="shared" ref="F110:H111" si="71">IFERROR($D110*F127/100, 0)</f>
        <v>0</v>
      </c>
      <c r="G110" s="799">
        <f t="shared" si="71"/>
        <v>0</v>
      </c>
      <c r="H110" s="800">
        <f t="shared" si="71"/>
        <v>0</v>
      </c>
      <c r="I110" s="439">
        <f t="shared" si="57"/>
        <v>0</v>
      </c>
      <c r="J110" s="798">
        <f t="shared" ref="J110:Q111" si="72">IFERROR($D110*J127/100, 0)</f>
        <v>0</v>
      </c>
      <c r="K110" s="799">
        <f t="shared" si="72"/>
        <v>0</v>
      </c>
      <c r="L110" s="800">
        <f t="shared" si="72"/>
        <v>0</v>
      </c>
      <c r="M110" s="801">
        <f t="shared" si="72"/>
        <v>0</v>
      </c>
      <c r="N110" s="439">
        <f t="shared" si="50"/>
        <v>0</v>
      </c>
      <c r="O110" s="801">
        <f>IFERROR($D110*O127/100, 0)</f>
        <v>0</v>
      </c>
      <c r="P110" s="800">
        <f t="shared" si="72"/>
        <v>0</v>
      </c>
      <c r="Q110" s="797">
        <f t="shared" si="72"/>
        <v>0</v>
      </c>
      <c r="R110" s="131" t="s">
        <v>1332</v>
      </c>
      <c r="S110" s="131"/>
      <c r="T110" s="131"/>
      <c r="U110" s="131"/>
    </row>
    <row r="111" spans="1:21">
      <c r="A111" s="608"/>
      <c r="B111" s="666" t="s">
        <v>643</v>
      </c>
      <c r="C111" s="675" t="s">
        <v>644</v>
      </c>
      <c r="D111" s="809">
        <v>0</v>
      </c>
      <c r="E111" s="797">
        <f t="shared" si="61"/>
        <v>0</v>
      </c>
      <c r="F111" s="798">
        <f t="shared" si="71"/>
        <v>0</v>
      </c>
      <c r="G111" s="799">
        <f t="shared" si="71"/>
        <v>0</v>
      </c>
      <c r="H111" s="800">
        <f t="shared" si="71"/>
        <v>0</v>
      </c>
      <c r="I111" s="439">
        <f t="shared" si="57"/>
        <v>0</v>
      </c>
      <c r="J111" s="798">
        <f t="shared" si="72"/>
        <v>0</v>
      </c>
      <c r="K111" s="799">
        <f t="shared" si="72"/>
        <v>0</v>
      </c>
      <c r="L111" s="800">
        <f t="shared" si="72"/>
        <v>0</v>
      </c>
      <c r="M111" s="801">
        <f t="shared" si="72"/>
        <v>0</v>
      </c>
      <c r="N111" s="439">
        <f t="shared" si="50"/>
        <v>0</v>
      </c>
      <c r="O111" s="801">
        <f>IFERROR($D111*O128/100, 0)</f>
        <v>0</v>
      </c>
      <c r="P111" s="800">
        <f t="shared" si="72"/>
        <v>0</v>
      </c>
      <c r="Q111" s="797">
        <f t="shared" si="72"/>
        <v>0</v>
      </c>
      <c r="R111" s="131" t="s">
        <v>1334</v>
      </c>
      <c r="S111" s="131"/>
      <c r="T111" s="131"/>
      <c r="U111" s="131"/>
    </row>
    <row r="112" spans="1:21">
      <c r="A112" s="608"/>
      <c r="B112" s="677" t="s">
        <v>172</v>
      </c>
      <c r="C112" s="678" t="s">
        <v>597</v>
      </c>
      <c r="D112" s="802">
        <f>D113+D114+D115</f>
        <v>0</v>
      </c>
      <c r="E112" s="803">
        <f t="shared" ref="E112:Q112" si="73">E113+E114+E115</f>
        <v>0</v>
      </c>
      <c r="F112" s="804">
        <f t="shared" si="73"/>
        <v>0</v>
      </c>
      <c r="G112" s="805">
        <f t="shared" si="73"/>
        <v>0</v>
      </c>
      <c r="H112" s="806">
        <f t="shared" si="73"/>
        <v>0</v>
      </c>
      <c r="I112" s="807">
        <f t="shared" si="73"/>
        <v>0</v>
      </c>
      <c r="J112" s="804">
        <f t="shared" si="73"/>
        <v>0</v>
      </c>
      <c r="K112" s="805">
        <f t="shared" si="73"/>
        <v>0</v>
      </c>
      <c r="L112" s="806">
        <f t="shared" si="73"/>
        <v>0</v>
      </c>
      <c r="M112" s="808">
        <f t="shared" si="73"/>
        <v>0</v>
      </c>
      <c r="N112" s="807">
        <f t="shared" si="50"/>
        <v>0</v>
      </c>
      <c r="O112" s="808">
        <f>O113+O114+O115</f>
        <v>0</v>
      </c>
      <c r="P112" s="806">
        <f t="shared" si="73"/>
        <v>0</v>
      </c>
      <c r="Q112" s="803">
        <f t="shared" si="73"/>
        <v>0</v>
      </c>
      <c r="R112" s="131"/>
      <c r="S112" s="131"/>
      <c r="T112" s="131"/>
      <c r="U112" s="131"/>
    </row>
    <row r="113" spans="1:21">
      <c r="A113" s="608"/>
      <c r="B113" s="679" t="s">
        <v>501</v>
      </c>
      <c r="C113" s="675" t="s">
        <v>1352</v>
      </c>
      <c r="D113" s="810">
        <v>0</v>
      </c>
      <c r="E113" s="797">
        <f>SUM(F113:H113)</f>
        <v>0</v>
      </c>
      <c r="F113" s="798">
        <f t="shared" ref="F113:H115" si="74">IFERROR($D113*F129/100, 0)</f>
        <v>0</v>
      </c>
      <c r="G113" s="799">
        <f t="shared" si="74"/>
        <v>0</v>
      </c>
      <c r="H113" s="800">
        <f t="shared" si="74"/>
        <v>0</v>
      </c>
      <c r="I113" s="439">
        <f t="shared" si="57"/>
        <v>0</v>
      </c>
      <c r="J113" s="798">
        <f t="shared" ref="J113:Q115" si="75">IFERROR($D113*J129/100, 0)</f>
        <v>0</v>
      </c>
      <c r="K113" s="799">
        <f t="shared" si="75"/>
        <v>0</v>
      </c>
      <c r="L113" s="800">
        <f t="shared" si="75"/>
        <v>0</v>
      </c>
      <c r="M113" s="801">
        <f t="shared" si="75"/>
        <v>0</v>
      </c>
      <c r="N113" s="439">
        <f t="shared" si="50"/>
        <v>0</v>
      </c>
      <c r="O113" s="801">
        <f>IFERROR($D113*O129/100, 0)</f>
        <v>0</v>
      </c>
      <c r="P113" s="800">
        <f t="shared" si="75"/>
        <v>0</v>
      </c>
      <c r="Q113" s="797">
        <f t="shared" si="75"/>
        <v>0</v>
      </c>
      <c r="R113" s="131" t="s">
        <v>1336</v>
      </c>
      <c r="S113" s="131"/>
      <c r="T113" s="131"/>
      <c r="U113" s="131"/>
    </row>
    <row r="114" spans="1:21">
      <c r="A114" s="608"/>
      <c r="B114" s="666" t="s">
        <v>502</v>
      </c>
      <c r="C114" s="675" t="s">
        <v>1352</v>
      </c>
      <c r="D114" s="810">
        <v>0</v>
      </c>
      <c r="E114" s="797">
        <f>SUM(F114:H114)</f>
        <v>0</v>
      </c>
      <c r="F114" s="798">
        <f t="shared" si="74"/>
        <v>0</v>
      </c>
      <c r="G114" s="799">
        <f t="shared" si="74"/>
        <v>0</v>
      </c>
      <c r="H114" s="800">
        <f t="shared" si="74"/>
        <v>0</v>
      </c>
      <c r="I114" s="439">
        <f t="shared" si="57"/>
        <v>0</v>
      </c>
      <c r="J114" s="798">
        <f t="shared" si="75"/>
        <v>0</v>
      </c>
      <c r="K114" s="799">
        <f t="shared" si="75"/>
        <v>0</v>
      </c>
      <c r="L114" s="800">
        <f t="shared" si="75"/>
        <v>0</v>
      </c>
      <c r="M114" s="801">
        <f t="shared" si="75"/>
        <v>0</v>
      </c>
      <c r="N114" s="439">
        <f t="shared" si="50"/>
        <v>0</v>
      </c>
      <c r="O114" s="801">
        <f>IFERROR($D114*O130/100, 0)</f>
        <v>0</v>
      </c>
      <c r="P114" s="800">
        <f t="shared" si="75"/>
        <v>0</v>
      </c>
      <c r="Q114" s="797">
        <f t="shared" si="75"/>
        <v>0</v>
      </c>
      <c r="R114" s="131" t="s">
        <v>1338</v>
      </c>
      <c r="S114" s="131"/>
      <c r="T114" s="131"/>
      <c r="U114" s="131"/>
    </row>
    <row r="115" spans="1:21" ht="15" thickBot="1">
      <c r="A115" s="608"/>
      <c r="B115" s="720" t="s">
        <v>503</v>
      </c>
      <c r="C115" s="681" t="s">
        <v>1352</v>
      </c>
      <c r="D115" s="796">
        <v>0</v>
      </c>
      <c r="E115" s="797">
        <f>SUM(F115:H115)</f>
        <v>0</v>
      </c>
      <c r="F115" s="798">
        <f t="shared" si="74"/>
        <v>0</v>
      </c>
      <c r="G115" s="799">
        <f t="shared" si="74"/>
        <v>0</v>
      </c>
      <c r="H115" s="800">
        <f t="shared" si="74"/>
        <v>0</v>
      </c>
      <c r="I115" s="439">
        <f t="shared" si="57"/>
        <v>0</v>
      </c>
      <c r="J115" s="798">
        <f t="shared" si="75"/>
        <v>0</v>
      </c>
      <c r="K115" s="799">
        <f t="shared" si="75"/>
        <v>0</v>
      </c>
      <c r="L115" s="800">
        <f t="shared" si="75"/>
        <v>0</v>
      </c>
      <c r="M115" s="801">
        <f t="shared" si="75"/>
        <v>0</v>
      </c>
      <c r="N115" s="439">
        <f t="shared" si="50"/>
        <v>0</v>
      </c>
      <c r="O115" s="801">
        <f>IFERROR($D115*O131/100, 0)</f>
        <v>0</v>
      </c>
      <c r="P115" s="800">
        <f t="shared" si="75"/>
        <v>0</v>
      </c>
      <c r="Q115" s="797">
        <f t="shared" si="75"/>
        <v>0</v>
      </c>
      <c r="R115" s="131" t="s">
        <v>1340</v>
      </c>
      <c r="S115" s="131"/>
      <c r="T115" s="131"/>
      <c r="U115" s="131"/>
    </row>
    <row r="116" spans="1:21" ht="66.599999999999994" thickBot="1">
      <c r="A116" s="608"/>
      <c r="B116" s="727" t="s">
        <v>76</v>
      </c>
      <c r="C116" s="612" t="s">
        <v>645</v>
      </c>
      <c r="D116" s="612" t="s">
        <v>246</v>
      </c>
      <c r="E116" s="613" t="s">
        <v>247</v>
      </c>
      <c r="F116" s="614" t="s">
        <v>248</v>
      </c>
      <c r="G116" s="615" t="s">
        <v>249</v>
      </c>
      <c r="H116" s="616" t="s">
        <v>250</v>
      </c>
      <c r="I116" s="612" t="s">
        <v>251</v>
      </c>
      <c r="J116" s="614" t="s">
        <v>252</v>
      </c>
      <c r="K116" s="615" t="s">
        <v>253</v>
      </c>
      <c r="L116" s="616" t="s">
        <v>254</v>
      </c>
      <c r="M116" s="618" t="s">
        <v>255</v>
      </c>
      <c r="N116" s="619" t="s">
        <v>256</v>
      </c>
      <c r="O116" s="620" t="s">
        <v>586</v>
      </c>
      <c r="P116" s="616" t="s">
        <v>258</v>
      </c>
      <c r="Q116" s="621" t="s">
        <v>259</v>
      </c>
      <c r="R116" s="131"/>
      <c r="S116" s="131"/>
      <c r="T116" s="131"/>
      <c r="U116" s="131"/>
    </row>
    <row r="117" spans="1:21">
      <c r="A117" s="608"/>
      <c r="B117" s="728" t="s">
        <v>205</v>
      </c>
      <c r="C117" s="729" t="s">
        <v>646</v>
      </c>
      <c r="D117" s="811">
        <f t="shared" ref="D117:D132" si="76">O117+E117+I117+M117+P117+Q117</f>
        <v>100.00000000000003</v>
      </c>
      <c r="E117" s="812">
        <f t="shared" ref="E117:E132" si="77">SUM(F117:H117)</f>
        <v>28.507611063182704</v>
      </c>
      <c r="F117" s="813">
        <f>'4'!F$235</f>
        <v>5.672452423167476</v>
      </c>
      <c r="G117" s="814">
        <f>'4'!G$235</f>
        <v>4.6973982138670278</v>
      </c>
      <c r="H117" s="815">
        <f>'4'!H$235</f>
        <v>18.137760426148201</v>
      </c>
      <c r="I117" s="816">
        <f t="shared" ref="I117:I132" si="78">SUM(J117:L117)</f>
        <v>64.924144046317963</v>
      </c>
      <c r="J117" s="813">
        <f>'4'!J$235</f>
        <v>30.194504825305113</v>
      </c>
      <c r="K117" s="814">
        <f>'4'!K$235</f>
        <v>25.953842870116222</v>
      </c>
      <c r="L117" s="815">
        <f>'4'!L$235</f>
        <v>8.7757963508966306</v>
      </c>
      <c r="M117" s="817">
        <f>'4'!M$235</f>
        <v>0.33276321965102384</v>
      </c>
      <c r="N117" s="818">
        <f t="shared" si="50"/>
        <v>3.439246255233853</v>
      </c>
      <c r="O117" s="819">
        <f>'4'!O$235</f>
        <v>3.439246255233853</v>
      </c>
      <c r="P117" s="815">
        <f>'4'!P$235</f>
        <v>0</v>
      </c>
      <c r="Q117" s="818">
        <f>'4'!Q$235</f>
        <v>2.7962354156144715</v>
      </c>
      <c r="R117" s="131"/>
      <c r="S117" s="131"/>
      <c r="T117" s="131"/>
      <c r="U117" s="131"/>
    </row>
    <row r="118" spans="1:21">
      <c r="A118" s="608"/>
      <c r="B118" s="740" t="s">
        <v>207</v>
      </c>
      <c r="C118" s="741" t="s">
        <v>647</v>
      </c>
      <c r="D118" s="429">
        <f t="shared" si="76"/>
        <v>100.00000000000003</v>
      </c>
      <c r="E118" s="753">
        <f t="shared" si="77"/>
        <v>28.507611063182704</v>
      </c>
      <c r="F118" s="820">
        <f>'4'!F$235</f>
        <v>5.672452423167476</v>
      </c>
      <c r="G118" s="821">
        <f>'4'!G$235</f>
        <v>4.6973982138670278</v>
      </c>
      <c r="H118" s="822">
        <f>'4'!H$235</f>
        <v>18.137760426148201</v>
      </c>
      <c r="I118" s="757">
        <f t="shared" si="78"/>
        <v>64.924144046317963</v>
      </c>
      <c r="J118" s="820">
        <f>'4'!J$235</f>
        <v>30.194504825305113</v>
      </c>
      <c r="K118" s="821">
        <f>'4'!K$235</f>
        <v>25.953842870116222</v>
      </c>
      <c r="L118" s="822">
        <f>'4'!L$235</f>
        <v>8.7757963508966306</v>
      </c>
      <c r="M118" s="823">
        <f>'4'!M$235</f>
        <v>0.33276321965102384</v>
      </c>
      <c r="N118" s="818">
        <f t="shared" si="50"/>
        <v>3.439246255233853</v>
      </c>
      <c r="O118" s="819">
        <f>'4'!O$235</f>
        <v>3.439246255233853</v>
      </c>
      <c r="P118" s="822">
        <f>'4'!P$235</f>
        <v>0</v>
      </c>
      <c r="Q118" s="759">
        <f>'4'!Q$235</f>
        <v>2.7962354156144715</v>
      </c>
      <c r="R118" s="131"/>
      <c r="S118" s="131"/>
      <c r="T118" s="131"/>
      <c r="U118" s="131"/>
    </row>
    <row r="119" spans="1:21">
      <c r="A119" s="608"/>
      <c r="B119" s="740" t="s">
        <v>215</v>
      </c>
      <c r="C119" s="741" t="s">
        <v>648</v>
      </c>
      <c r="D119" s="429">
        <f t="shared" si="76"/>
        <v>100.00000000000003</v>
      </c>
      <c r="E119" s="753">
        <f t="shared" si="77"/>
        <v>28.507611063182704</v>
      </c>
      <c r="F119" s="820">
        <f>'4'!F$235</f>
        <v>5.672452423167476</v>
      </c>
      <c r="G119" s="821">
        <f>'4'!G$235</f>
        <v>4.6973982138670278</v>
      </c>
      <c r="H119" s="822">
        <f>'4'!H$235</f>
        <v>18.137760426148201</v>
      </c>
      <c r="I119" s="757">
        <f t="shared" si="78"/>
        <v>64.924144046317963</v>
      </c>
      <c r="J119" s="820">
        <f>'4'!J$235</f>
        <v>30.194504825305113</v>
      </c>
      <c r="K119" s="821">
        <f>'4'!K$235</f>
        <v>25.953842870116222</v>
      </c>
      <c r="L119" s="822">
        <f>'4'!L$235</f>
        <v>8.7757963508966306</v>
      </c>
      <c r="M119" s="823">
        <f>'4'!M$235</f>
        <v>0.33276321965102384</v>
      </c>
      <c r="N119" s="818">
        <f t="shared" si="50"/>
        <v>3.439246255233853</v>
      </c>
      <c r="O119" s="819">
        <f>'4'!O$235</f>
        <v>3.439246255233853</v>
      </c>
      <c r="P119" s="822">
        <f>'4'!P$235</f>
        <v>0</v>
      </c>
      <c r="Q119" s="759">
        <f>'4'!Q$235</f>
        <v>2.7962354156144715</v>
      </c>
      <c r="R119" s="131"/>
      <c r="S119" s="131"/>
      <c r="T119" s="131"/>
      <c r="U119" s="131"/>
    </row>
    <row r="120" spans="1:21">
      <c r="A120" s="608"/>
      <c r="B120" s="752" t="s">
        <v>649</v>
      </c>
      <c r="C120" s="741" t="s">
        <v>650</v>
      </c>
      <c r="D120" s="429">
        <f t="shared" si="76"/>
        <v>100.00000000000003</v>
      </c>
      <c r="E120" s="753">
        <f t="shared" si="77"/>
        <v>28.507611063182704</v>
      </c>
      <c r="F120" s="820">
        <f>'4'!F$235</f>
        <v>5.672452423167476</v>
      </c>
      <c r="G120" s="821">
        <f>'4'!G$235</f>
        <v>4.6973982138670278</v>
      </c>
      <c r="H120" s="822">
        <f>'4'!H$235</f>
        <v>18.137760426148201</v>
      </c>
      <c r="I120" s="757">
        <f t="shared" si="78"/>
        <v>64.924144046317963</v>
      </c>
      <c r="J120" s="820">
        <f>'4'!J$235</f>
        <v>30.194504825305113</v>
      </c>
      <c r="K120" s="821">
        <f>'4'!K$235</f>
        <v>25.953842870116222</v>
      </c>
      <c r="L120" s="822">
        <f>'4'!L$235</f>
        <v>8.7757963508966306</v>
      </c>
      <c r="M120" s="823">
        <f>'4'!M$235</f>
        <v>0.33276321965102384</v>
      </c>
      <c r="N120" s="818">
        <f t="shared" si="50"/>
        <v>3.439246255233853</v>
      </c>
      <c r="O120" s="819">
        <f>'4'!O$235</f>
        <v>3.439246255233853</v>
      </c>
      <c r="P120" s="822">
        <f>'4'!P$235</f>
        <v>0</v>
      </c>
      <c r="Q120" s="759">
        <f>'4'!Q$235</f>
        <v>2.7962354156144715</v>
      </c>
      <c r="R120" s="131"/>
      <c r="S120" s="131"/>
      <c r="T120" s="131"/>
      <c r="U120" s="131"/>
    </row>
    <row r="121" spans="1:21">
      <c r="A121" s="608"/>
      <c r="B121" s="740" t="s">
        <v>651</v>
      </c>
      <c r="C121" s="741" t="s">
        <v>652</v>
      </c>
      <c r="D121" s="429">
        <f t="shared" si="76"/>
        <v>100.00000000000003</v>
      </c>
      <c r="E121" s="753">
        <f t="shared" si="77"/>
        <v>28.507611063182704</v>
      </c>
      <c r="F121" s="820">
        <f>'4'!F$235</f>
        <v>5.672452423167476</v>
      </c>
      <c r="G121" s="821">
        <f>'4'!G$235</f>
        <v>4.6973982138670278</v>
      </c>
      <c r="H121" s="822">
        <f>'4'!H$235</f>
        <v>18.137760426148201</v>
      </c>
      <c r="I121" s="757">
        <f t="shared" si="78"/>
        <v>64.924144046317963</v>
      </c>
      <c r="J121" s="820">
        <f>'4'!J$235</f>
        <v>30.194504825305113</v>
      </c>
      <c r="K121" s="821">
        <f>'4'!K$235</f>
        <v>25.953842870116222</v>
      </c>
      <c r="L121" s="822">
        <f>'4'!L$235</f>
        <v>8.7757963508966306</v>
      </c>
      <c r="M121" s="823">
        <f>'4'!M$235</f>
        <v>0.33276321965102384</v>
      </c>
      <c r="N121" s="818">
        <f t="shared" si="50"/>
        <v>3.439246255233853</v>
      </c>
      <c r="O121" s="819">
        <f>'4'!O$235</f>
        <v>3.439246255233853</v>
      </c>
      <c r="P121" s="822">
        <f>'4'!P$235</f>
        <v>0</v>
      </c>
      <c r="Q121" s="759">
        <f>'4'!Q$235</f>
        <v>2.7962354156144715</v>
      </c>
      <c r="R121" s="131"/>
      <c r="S121" s="131"/>
      <c r="T121" s="131"/>
      <c r="U121" s="131"/>
    </row>
    <row r="122" spans="1:21">
      <c r="A122" s="608"/>
      <c r="B122" s="740" t="s">
        <v>653</v>
      </c>
      <c r="C122" s="741" t="s">
        <v>654</v>
      </c>
      <c r="D122" s="429">
        <f t="shared" si="76"/>
        <v>100.00000000000003</v>
      </c>
      <c r="E122" s="753">
        <f t="shared" si="77"/>
        <v>28.507611063182704</v>
      </c>
      <c r="F122" s="820">
        <f>'4'!F$235</f>
        <v>5.672452423167476</v>
      </c>
      <c r="G122" s="821">
        <f>'4'!G$235</f>
        <v>4.6973982138670278</v>
      </c>
      <c r="H122" s="822">
        <f>'4'!H$235</f>
        <v>18.137760426148201</v>
      </c>
      <c r="I122" s="757">
        <f t="shared" si="78"/>
        <v>64.924144046317963</v>
      </c>
      <c r="J122" s="820">
        <f>'4'!J$235</f>
        <v>30.194504825305113</v>
      </c>
      <c r="K122" s="821">
        <f>'4'!K$235</f>
        <v>25.953842870116222</v>
      </c>
      <c r="L122" s="822">
        <f>'4'!L$235</f>
        <v>8.7757963508966306</v>
      </c>
      <c r="M122" s="823">
        <f>'4'!M$235</f>
        <v>0.33276321965102384</v>
      </c>
      <c r="N122" s="818">
        <f t="shared" si="50"/>
        <v>3.439246255233853</v>
      </c>
      <c r="O122" s="819">
        <f>'4'!O$235</f>
        <v>3.439246255233853</v>
      </c>
      <c r="P122" s="822">
        <f>'4'!P$235</f>
        <v>0</v>
      </c>
      <c r="Q122" s="759">
        <f>'4'!Q$235</f>
        <v>2.7962354156144715</v>
      </c>
      <c r="R122" s="131"/>
      <c r="S122" s="131"/>
      <c r="T122" s="131"/>
      <c r="U122" s="131"/>
    </row>
    <row r="123" spans="1:21">
      <c r="A123" s="608"/>
      <c r="B123" s="740" t="s">
        <v>655</v>
      </c>
      <c r="C123" s="741" t="s">
        <v>656</v>
      </c>
      <c r="D123" s="429">
        <f t="shared" si="76"/>
        <v>100.00000000000003</v>
      </c>
      <c r="E123" s="753">
        <f t="shared" si="77"/>
        <v>28.507611063182704</v>
      </c>
      <c r="F123" s="820">
        <f>'4'!F$235</f>
        <v>5.672452423167476</v>
      </c>
      <c r="G123" s="821">
        <f>'4'!G$235</f>
        <v>4.6973982138670278</v>
      </c>
      <c r="H123" s="822">
        <f>'4'!H$235</f>
        <v>18.137760426148201</v>
      </c>
      <c r="I123" s="757">
        <f t="shared" si="78"/>
        <v>64.924144046317963</v>
      </c>
      <c r="J123" s="820">
        <f>'4'!J$235</f>
        <v>30.194504825305113</v>
      </c>
      <c r="K123" s="821">
        <f>'4'!K$235</f>
        <v>25.953842870116222</v>
      </c>
      <c r="L123" s="822">
        <f>'4'!L$235</f>
        <v>8.7757963508966306</v>
      </c>
      <c r="M123" s="823">
        <f>'4'!M$235</f>
        <v>0.33276321965102384</v>
      </c>
      <c r="N123" s="818">
        <f t="shared" si="50"/>
        <v>3.439246255233853</v>
      </c>
      <c r="O123" s="819">
        <f>'4'!O$235</f>
        <v>3.439246255233853</v>
      </c>
      <c r="P123" s="822">
        <f>'4'!P$235</f>
        <v>0</v>
      </c>
      <c r="Q123" s="759">
        <f>'4'!Q$235</f>
        <v>2.7962354156144715</v>
      </c>
      <c r="R123" s="131"/>
      <c r="S123" s="131"/>
      <c r="T123" s="131"/>
      <c r="U123" s="131"/>
    </row>
    <row r="124" spans="1:21">
      <c r="A124" s="608"/>
      <c r="B124" s="752" t="s">
        <v>657</v>
      </c>
      <c r="C124" s="741" t="s">
        <v>658</v>
      </c>
      <c r="D124" s="429">
        <f t="shared" si="76"/>
        <v>100.00000000000003</v>
      </c>
      <c r="E124" s="753">
        <f t="shared" si="77"/>
        <v>28.507611063182704</v>
      </c>
      <c r="F124" s="820">
        <f>'4'!F$235</f>
        <v>5.672452423167476</v>
      </c>
      <c r="G124" s="821">
        <f>'4'!G$235</f>
        <v>4.6973982138670278</v>
      </c>
      <c r="H124" s="822">
        <f>'4'!H$235</f>
        <v>18.137760426148201</v>
      </c>
      <c r="I124" s="757">
        <f t="shared" si="78"/>
        <v>64.924144046317963</v>
      </c>
      <c r="J124" s="820">
        <f>'4'!J$235</f>
        <v>30.194504825305113</v>
      </c>
      <c r="K124" s="821">
        <f>'4'!K$235</f>
        <v>25.953842870116222</v>
      </c>
      <c r="L124" s="822">
        <f>'4'!L$235</f>
        <v>8.7757963508966306</v>
      </c>
      <c r="M124" s="823">
        <f>'4'!M$235</f>
        <v>0.33276321965102384</v>
      </c>
      <c r="N124" s="818">
        <f t="shared" si="50"/>
        <v>3.439246255233853</v>
      </c>
      <c r="O124" s="819">
        <f>'4'!O$235</f>
        <v>3.439246255233853</v>
      </c>
      <c r="P124" s="822">
        <f>'4'!P$235</f>
        <v>0</v>
      </c>
      <c r="Q124" s="759">
        <f>'4'!Q$235</f>
        <v>2.7962354156144715</v>
      </c>
      <c r="R124" s="131"/>
      <c r="S124" s="131"/>
      <c r="T124" s="131"/>
      <c r="U124" s="131"/>
    </row>
    <row r="125" spans="1:21">
      <c r="A125" s="608"/>
      <c r="B125" s="752" t="s">
        <v>659</v>
      </c>
      <c r="C125" s="741" t="s">
        <v>660</v>
      </c>
      <c r="D125" s="429">
        <f t="shared" si="76"/>
        <v>100.00000000000003</v>
      </c>
      <c r="E125" s="753">
        <f t="shared" si="77"/>
        <v>28.507611063182704</v>
      </c>
      <c r="F125" s="820">
        <f>'4'!F$235</f>
        <v>5.672452423167476</v>
      </c>
      <c r="G125" s="821">
        <f>'4'!G$235</f>
        <v>4.6973982138670278</v>
      </c>
      <c r="H125" s="822">
        <f>'4'!H$235</f>
        <v>18.137760426148201</v>
      </c>
      <c r="I125" s="757">
        <f t="shared" si="78"/>
        <v>64.924144046317963</v>
      </c>
      <c r="J125" s="820">
        <f>'4'!J$235</f>
        <v>30.194504825305113</v>
      </c>
      <c r="K125" s="821">
        <f>'4'!K$235</f>
        <v>25.953842870116222</v>
      </c>
      <c r="L125" s="822">
        <f>'4'!L$235</f>
        <v>8.7757963508966306</v>
      </c>
      <c r="M125" s="823">
        <f>'4'!M$235</f>
        <v>0.33276321965102384</v>
      </c>
      <c r="N125" s="818">
        <f t="shared" si="50"/>
        <v>3.439246255233853</v>
      </c>
      <c r="O125" s="819">
        <f>'4'!O$235</f>
        <v>3.439246255233853</v>
      </c>
      <c r="P125" s="822">
        <f>'4'!P$235</f>
        <v>0</v>
      </c>
      <c r="Q125" s="759">
        <f>'4'!Q$235</f>
        <v>2.7962354156144715</v>
      </c>
      <c r="R125" s="131"/>
      <c r="S125" s="131"/>
      <c r="T125" s="131"/>
      <c r="U125" s="131"/>
    </row>
    <row r="126" spans="1:21">
      <c r="A126" s="608"/>
      <c r="B126" s="752" t="s">
        <v>661</v>
      </c>
      <c r="C126" s="741" t="s">
        <v>662</v>
      </c>
      <c r="D126" s="429">
        <f t="shared" si="76"/>
        <v>100.00000000000003</v>
      </c>
      <c r="E126" s="753">
        <f t="shared" si="77"/>
        <v>28.507611063182704</v>
      </c>
      <c r="F126" s="820">
        <f>'4'!F$235</f>
        <v>5.672452423167476</v>
      </c>
      <c r="G126" s="821">
        <f>'4'!G$235</f>
        <v>4.6973982138670278</v>
      </c>
      <c r="H126" s="822">
        <f>'4'!H$235</f>
        <v>18.137760426148201</v>
      </c>
      <c r="I126" s="757">
        <f t="shared" si="78"/>
        <v>64.924144046317963</v>
      </c>
      <c r="J126" s="820">
        <f>'4'!J$235</f>
        <v>30.194504825305113</v>
      </c>
      <c r="K126" s="821">
        <f>'4'!K$235</f>
        <v>25.953842870116222</v>
      </c>
      <c r="L126" s="822">
        <f>'4'!L$235</f>
        <v>8.7757963508966306</v>
      </c>
      <c r="M126" s="823">
        <f>'4'!M$235</f>
        <v>0.33276321965102384</v>
      </c>
      <c r="N126" s="818">
        <f t="shared" si="50"/>
        <v>3.439246255233853</v>
      </c>
      <c r="O126" s="819">
        <f>'4'!O$235</f>
        <v>3.439246255233853</v>
      </c>
      <c r="P126" s="822">
        <f>'4'!P$235</f>
        <v>0</v>
      </c>
      <c r="Q126" s="759">
        <f>'4'!Q$235</f>
        <v>2.7962354156144715</v>
      </c>
      <c r="R126" s="131"/>
      <c r="S126" s="131"/>
      <c r="T126" s="131"/>
      <c r="U126" s="131"/>
    </row>
    <row r="127" spans="1:21">
      <c r="A127" s="608"/>
      <c r="B127" s="752" t="s">
        <v>663</v>
      </c>
      <c r="C127" s="741" t="s">
        <v>664</v>
      </c>
      <c r="D127" s="429">
        <f t="shared" si="76"/>
        <v>100.00000000000003</v>
      </c>
      <c r="E127" s="753">
        <f t="shared" si="77"/>
        <v>28.507611063182704</v>
      </c>
      <c r="F127" s="820">
        <f>'4'!F$235</f>
        <v>5.672452423167476</v>
      </c>
      <c r="G127" s="821">
        <f>'4'!G$235</f>
        <v>4.6973982138670278</v>
      </c>
      <c r="H127" s="822">
        <f>'4'!H$235</f>
        <v>18.137760426148201</v>
      </c>
      <c r="I127" s="757">
        <f t="shared" si="78"/>
        <v>64.924144046317963</v>
      </c>
      <c r="J127" s="820">
        <f>'4'!J$235</f>
        <v>30.194504825305113</v>
      </c>
      <c r="K127" s="821">
        <f>'4'!K$235</f>
        <v>25.953842870116222</v>
      </c>
      <c r="L127" s="822">
        <f>'4'!L$235</f>
        <v>8.7757963508966306</v>
      </c>
      <c r="M127" s="823">
        <f>'4'!M$235</f>
        <v>0.33276321965102384</v>
      </c>
      <c r="N127" s="818">
        <f t="shared" si="50"/>
        <v>3.439246255233853</v>
      </c>
      <c r="O127" s="819">
        <f>'4'!O$235</f>
        <v>3.439246255233853</v>
      </c>
      <c r="P127" s="822">
        <f>'4'!P$235</f>
        <v>0</v>
      </c>
      <c r="Q127" s="759">
        <f>'4'!Q$235</f>
        <v>2.7962354156144715</v>
      </c>
      <c r="R127" s="131"/>
      <c r="S127" s="131"/>
      <c r="T127" s="131"/>
      <c r="U127" s="131"/>
    </row>
    <row r="128" spans="1:21">
      <c r="A128" s="608"/>
      <c r="B128" s="740" t="s">
        <v>665</v>
      </c>
      <c r="C128" s="741" t="s">
        <v>666</v>
      </c>
      <c r="D128" s="429">
        <f t="shared" si="76"/>
        <v>100.00000000000003</v>
      </c>
      <c r="E128" s="753">
        <f t="shared" si="77"/>
        <v>28.507611063182704</v>
      </c>
      <c r="F128" s="820">
        <f>'4'!F$235</f>
        <v>5.672452423167476</v>
      </c>
      <c r="G128" s="821">
        <f>'4'!G$235</f>
        <v>4.6973982138670278</v>
      </c>
      <c r="H128" s="822">
        <f>'4'!H$235</f>
        <v>18.137760426148201</v>
      </c>
      <c r="I128" s="757">
        <f t="shared" si="78"/>
        <v>64.924144046317963</v>
      </c>
      <c r="J128" s="820">
        <f>'4'!J$235</f>
        <v>30.194504825305113</v>
      </c>
      <c r="K128" s="821">
        <f>'4'!K$235</f>
        <v>25.953842870116222</v>
      </c>
      <c r="L128" s="822">
        <f>'4'!L$235</f>
        <v>8.7757963508966306</v>
      </c>
      <c r="M128" s="823">
        <f>'4'!M$235</f>
        <v>0.33276321965102384</v>
      </c>
      <c r="N128" s="818">
        <f t="shared" si="50"/>
        <v>3.439246255233853</v>
      </c>
      <c r="O128" s="819">
        <f>'4'!O$235</f>
        <v>3.439246255233853</v>
      </c>
      <c r="P128" s="822">
        <f>'4'!P$235</f>
        <v>0</v>
      </c>
      <c r="Q128" s="759">
        <f>'4'!Q$235</f>
        <v>2.7962354156144715</v>
      </c>
      <c r="R128" s="131"/>
      <c r="S128" s="131"/>
      <c r="T128" s="131"/>
      <c r="U128" s="131"/>
    </row>
    <row r="129" spans="1:21">
      <c r="A129" s="608"/>
      <c r="B129" s="752" t="s">
        <v>667</v>
      </c>
      <c r="C129" s="741" t="s">
        <v>668</v>
      </c>
      <c r="D129" s="429">
        <f t="shared" si="76"/>
        <v>100.00000000000003</v>
      </c>
      <c r="E129" s="753">
        <f t="shared" si="77"/>
        <v>28.507611063182704</v>
      </c>
      <c r="F129" s="820">
        <f>'4'!F$235</f>
        <v>5.672452423167476</v>
      </c>
      <c r="G129" s="821">
        <f>'4'!G$235</f>
        <v>4.6973982138670278</v>
      </c>
      <c r="H129" s="822">
        <f>'4'!H$235</f>
        <v>18.137760426148201</v>
      </c>
      <c r="I129" s="757">
        <f t="shared" si="78"/>
        <v>64.924144046317963</v>
      </c>
      <c r="J129" s="820">
        <f>'4'!J$235</f>
        <v>30.194504825305113</v>
      </c>
      <c r="K129" s="821">
        <f>'4'!K$235</f>
        <v>25.953842870116222</v>
      </c>
      <c r="L129" s="822">
        <f>'4'!L$235</f>
        <v>8.7757963508966306</v>
      </c>
      <c r="M129" s="823">
        <f>'4'!M$235</f>
        <v>0.33276321965102384</v>
      </c>
      <c r="N129" s="818">
        <f t="shared" si="50"/>
        <v>3.439246255233853</v>
      </c>
      <c r="O129" s="819">
        <f>'4'!O$235</f>
        <v>3.439246255233853</v>
      </c>
      <c r="P129" s="822">
        <f>'4'!P$235</f>
        <v>0</v>
      </c>
      <c r="Q129" s="759">
        <f>'4'!Q$235</f>
        <v>2.7962354156144715</v>
      </c>
      <c r="R129" s="131"/>
      <c r="S129" s="131"/>
      <c r="T129" s="131"/>
      <c r="U129" s="131"/>
    </row>
    <row r="130" spans="1:21">
      <c r="A130" s="608"/>
      <c r="B130" s="752" t="s">
        <v>669</v>
      </c>
      <c r="C130" s="762" t="s">
        <v>670</v>
      </c>
      <c r="D130" s="763">
        <f t="shared" si="76"/>
        <v>100.00000000000003</v>
      </c>
      <c r="E130" s="764">
        <f t="shared" si="77"/>
        <v>28.507611063182704</v>
      </c>
      <c r="F130" s="824">
        <f>'4'!F$235</f>
        <v>5.672452423167476</v>
      </c>
      <c r="G130" s="825">
        <f>'4'!G$235</f>
        <v>4.6973982138670278</v>
      </c>
      <c r="H130" s="826">
        <f>'4'!H$235</f>
        <v>18.137760426148201</v>
      </c>
      <c r="I130" s="768">
        <f t="shared" si="78"/>
        <v>64.924144046317963</v>
      </c>
      <c r="J130" s="824">
        <f>'4'!J$235</f>
        <v>30.194504825305113</v>
      </c>
      <c r="K130" s="825">
        <f>'4'!K$235</f>
        <v>25.953842870116222</v>
      </c>
      <c r="L130" s="826">
        <f>'4'!L$235</f>
        <v>8.7757963508966306</v>
      </c>
      <c r="M130" s="827">
        <f>'4'!M$235</f>
        <v>0.33276321965102384</v>
      </c>
      <c r="N130" s="770">
        <f t="shared" si="50"/>
        <v>3.439246255233853</v>
      </c>
      <c r="O130" s="828">
        <f>'4'!O$235</f>
        <v>3.439246255233853</v>
      </c>
      <c r="P130" s="826">
        <f>'4'!P$235</f>
        <v>0</v>
      </c>
      <c r="Q130" s="770">
        <f>'4'!Q$235</f>
        <v>2.7962354156144715</v>
      </c>
      <c r="R130" s="131"/>
      <c r="S130" s="131"/>
      <c r="T130" s="131"/>
      <c r="U130" s="131"/>
    </row>
    <row r="131" spans="1:21" ht="15" thickBot="1">
      <c r="A131" s="608"/>
      <c r="B131" s="829" t="s">
        <v>671</v>
      </c>
      <c r="C131" s="830" t="s">
        <v>672</v>
      </c>
      <c r="D131" s="831">
        <f t="shared" si="76"/>
        <v>100.00000000000003</v>
      </c>
      <c r="E131" s="832">
        <f t="shared" si="77"/>
        <v>28.507611063182704</v>
      </c>
      <c r="F131" s="833">
        <f>'4'!F$235</f>
        <v>5.672452423167476</v>
      </c>
      <c r="G131" s="834">
        <f>'4'!G$235</f>
        <v>4.6973982138670278</v>
      </c>
      <c r="H131" s="835">
        <f>'4'!H$235</f>
        <v>18.137760426148201</v>
      </c>
      <c r="I131" s="836">
        <f t="shared" si="78"/>
        <v>64.924144046317963</v>
      </c>
      <c r="J131" s="833">
        <f>'4'!J$235</f>
        <v>30.194504825305113</v>
      </c>
      <c r="K131" s="834">
        <f>'4'!K$235</f>
        <v>25.953842870116222</v>
      </c>
      <c r="L131" s="835">
        <f>'4'!L$235</f>
        <v>8.7757963508966306</v>
      </c>
      <c r="M131" s="837">
        <f>'4'!M$235</f>
        <v>0.33276321965102384</v>
      </c>
      <c r="N131" s="838">
        <f t="shared" si="50"/>
        <v>3.439246255233853</v>
      </c>
      <c r="O131" s="839">
        <f>'4'!O$235</f>
        <v>3.439246255233853</v>
      </c>
      <c r="P131" s="835">
        <f>'4'!P$235</f>
        <v>0</v>
      </c>
      <c r="Q131" s="838">
        <f>'4'!Q$235</f>
        <v>2.7962354156144715</v>
      </c>
      <c r="R131" s="131"/>
      <c r="S131" s="131"/>
      <c r="T131" s="131"/>
      <c r="U131" s="131"/>
    </row>
    <row r="132" spans="1:21" ht="27" thickBot="1">
      <c r="A132" s="608"/>
      <c r="B132" s="840" t="s">
        <v>78</v>
      </c>
      <c r="C132" s="841" t="s">
        <v>673</v>
      </c>
      <c r="D132" s="842">
        <f t="shared" si="76"/>
        <v>100.00000000000003</v>
      </c>
      <c r="E132" s="843">
        <f t="shared" si="77"/>
        <v>28.507611063182708</v>
      </c>
      <c r="F132" s="844">
        <f>IFERROR(F94/$D$94*100, 0)</f>
        <v>5.6724524231674751</v>
      </c>
      <c r="G132" s="845">
        <f>IFERROR(G94/$D$94*100, 0)</f>
        <v>4.6973982138670287</v>
      </c>
      <c r="H132" s="846">
        <f>IFERROR(H94/$D$94*100, 0)</f>
        <v>18.137760426148205</v>
      </c>
      <c r="I132" s="847">
        <f t="shared" si="78"/>
        <v>64.924144046317963</v>
      </c>
      <c r="J132" s="844">
        <f t="shared" ref="J132:Q132" si="79">IFERROR(J94/$D$94*100, 0)</f>
        <v>30.194504825305113</v>
      </c>
      <c r="K132" s="845">
        <f t="shared" si="79"/>
        <v>25.953842870116222</v>
      </c>
      <c r="L132" s="846">
        <f t="shared" si="79"/>
        <v>8.7757963508966288</v>
      </c>
      <c r="M132" s="848">
        <f t="shared" si="79"/>
        <v>0.33276321965102379</v>
      </c>
      <c r="N132" s="847">
        <f t="shared" si="50"/>
        <v>3.439246255233853</v>
      </c>
      <c r="O132" s="849">
        <f>IFERROR(O94/$D$94*100, 0)</f>
        <v>3.439246255233853</v>
      </c>
      <c r="P132" s="846">
        <f t="shared" si="79"/>
        <v>0</v>
      </c>
      <c r="Q132" s="847">
        <f t="shared" si="79"/>
        <v>2.7962354156144715</v>
      </c>
      <c r="R132" s="131"/>
      <c r="S132" s="131"/>
      <c r="T132" s="131"/>
      <c r="U132" s="131"/>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03FB-FFC0-4867-9653-939E80FC743C}">
  <sheetPr>
    <tabColor theme="0" tint="-0.14999847407452621"/>
  </sheetPr>
  <dimension ref="A1:U133"/>
  <sheetViews>
    <sheetView showGridLines="0" topLeftCell="D114" workbookViewId="0">
      <selection activeCell="O117" sqref="O117:Q131"/>
    </sheetView>
  </sheetViews>
  <sheetFormatPr defaultRowHeight="14.4"/>
  <cols>
    <col min="1" max="1" width="9.109375" style="131"/>
    <col min="3" max="3" width="61.44140625" customWidth="1"/>
    <col min="4" max="4" width="11" customWidth="1"/>
    <col min="5" max="5" width="14.44140625" customWidth="1"/>
    <col min="6" max="6" width="14.109375" customWidth="1"/>
    <col min="7" max="7" width="14.6640625" customWidth="1"/>
    <col min="8" max="8" width="15.5546875" customWidth="1"/>
    <col min="9" max="9" width="13.88671875" customWidth="1"/>
    <col min="10" max="10" width="11.5546875" customWidth="1"/>
    <col min="11" max="11" width="11.88671875" customWidth="1"/>
    <col min="12" max="12" width="12.109375" customWidth="1"/>
    <col min="13" max="13" width="20.88671875" customWidth="1"/>
    <col min="14" max="14" width="14.33203125" customWidth="1"/>
    <col min="15" max="15" width="11.88671875" customWidth="1"/>
    <col min="16" max="16" width="16.33203125" customWidth="1"/>
    <col min="17" max="17" width="23.33203125" customWidth="1"/>
    <col min="18" max="18" width="0" style="131" hidden="1" customWidth="1"/>
    <col min="19" max="21" width="0" hidden="1" customWidth="1"/>
  </cols>
  <sheetData>
    <row r="1" spans="1:21">
      <c r="B1" s="130"/>
      <c r="C1" s="130"/>
      <c r="D1" s="130"/>
      <c r="E1" s="130"/>
      <c r="F1" s="130"/>
      <c r="G1" s="130"/>
      <c r="H1" s="130"/>
      <c r="I1" s="130"/>
      <c r="J1" s="130"/>
      <c r="K1" s="130"/>
      <c r="L1" s="130"/>
      <c r="M1" s="130"/>
      <c r="N1" s="130"/>
      <c r="O1" s="130"/>
      <c r="P1" s="130"/>
      <c r="Q1" s="130"/>
    </row>
    <row r="2" spans="1:21" ht="72">
      <c r="B2" s="130"/>
      <c r="C2" s="28" t="s">
        <v>1262</v>
      </c>
      <c r="D2" s="130"/>
      <c r="E2" s="130"/>
      <c r="F2" s="130"/>
      <c r="G2" s="130"/>
      <c r="H2" s="130"/>
      <c r="I2" s="130"/>
      <c r="J2" s="130"/>
      <c r="K2" s="130"/>
      <c r="L2" s="130"/>
      <c r="M2" s="130"/>
      <c r="N2" s="130"/>
      <c r="O2" s="130"/>
      <c r="P2" s="130"/>
      <c r="Q2" s="580" t="s">
        <v>674</v>
      </c>
    </row>
    <row r="3" spans="1:21">
      <c r="B3" s="130"/>
      <c r="C3" s="28" t="s">
        <v>1357</v>
      </c>
      <c r="D3" s="130"/>
      <c r="E3" s="130"/>
      <c r="F3" s="130"/>
      <c r="G3" s="130"/>
      <c r="H3" s="130"/>
      <c r="I3" s="130"/>
      <c r="J3" s="130"/>
      <c r="K3" s="130"/>
      <c r="L3" s="130"/>
      <c r="M3" s="130"/>
      <c r="N3" s="130"/>
      <c r="O3" s="130"/>
      <c r="P3" s="130"/>
      <c r="Q3" s="130"/>
    </row>
    <row r="4" spans="1:21">
      <c r="B4" s="130"/>
      <c r="C4" s="130"/>
      <c r="D4" s="130"/>
      <c r="E4" s="130"/>
      <c r="F4" s="130"/>
      <c r="G4" s="130"/>
      <c r="H4" s="130"/>
      <c r="I4" s="130"/>
      <c r="J4" s="130"/>
      <c r="K4" s="130"/>
      <c r="L4" s="130"/>
      <c r="M4" s="130"/>
      <c r="N4" s="130"/>
      <c r="O4" s="130"/>
      <c r="P4" s="130"/>
      <c r="Q4" s="130"/>
    </row>
    <row r="5" spans="1:21" ht="15.6">
      <c r="B5" s="130"/>
      <c r="C5" s="29" t="s">
        <v>675</v>
      </c>
      <c r="D5" s="130"/>
      <c r="E5" s="130"/>
      <c r="F5" s="130"/>
      <c r="G5" s="130"/>
      <c r="H5" s="130"/>
      <c r="I5" s="130"/>
      <c r="J5" s="130"/>
      <c r="K5" s="130"/>
      <c r="L5" s="130"/>
      <c r="M5" s="130"/>
      <c r="N5" s="130"/>
      <c r="O5" s="130"/>
      <c r="P5" s="130"/>
      <c r="Q5" s="130"/>
    </row>
    <row r="6" spans="1:21" s="131" customFormat="1" ht="15" thickBot="1">
      <c r="D6" s="608"/>
      <c r="E6" s="608"/>
      <c r="F6" s="608" t="s">
        <v>1342</v>
      </c>
      <c r="G6" s="608" t="s">
        <v>1343</v>
      </c>
      <c r="H6" s="608" t="s">
        <v>1344</v>
      </c>
      <c r="I6" s="608"/>
      <c r="J6" s="608" t="s">
        <v>1345</v>
      </c>
      <c r="K6" s="608" t="s">
        <v>1346</v>
      </c>
      <c r="L6" s="608" t="s">
        <v>1347</v>
      </c>
      <c r="M6" s="608" t="s">
        <v>1348</v>
      </c>
      <c r="N6" s="608"/>
      <c r="O6" s="608" t="s">
        <v>1349</v>
      </c>
      <c r="P6" s="608" t="s">
        <v>1350</v>
      </c>
      <c r="Q6" s="608" t="s">
        <v>1351</v>
      </c>
    </row>
    <row r="7" spans="1:21" ht="66.599999999999994" thickBot="1">
      <c r="B7" s="610" t="s">
        <v>2</v>
      </c>
      <c r="C7" s="611" t="s">
        <v>49</v>
      </c>
      <c r="D7" s="612" t="s">
        <v>246</v>
      </c>
      <c r="E7" s="613" t="s">
        <v>247</v>
      </c>
      <c r="F7" s="614" t="s">
        <v>248</v>
      </c>
      <c r="G7" s="615" t="s">
        <v>249</v>
      </c>
      <c r="H7" s="616" t="s">
        <v>250</v>
      </c>
      <c r="I7" s="612" t="s">
        <v>251</v>
      </c>
      <c r="J7" s="614" t="s">
        <v>252</v>
      </c>
      <c r="K7" s="615" t="s">
        <v>253</v>
      </c>
      <c r="L7" s="617" t="s">
        <v>254</v>
      </c>
      <c r="M7" s="618" t="s">
        <v>255</v>
      </c>
      <c r="N7" s="619" t="s">
        <v>256</v>
      </c>
      <c r="O7" s="614" t="s">
        <v>586</v>
      </c>
      <c r="P7" s="617" t="s">
        <v>258</v>
      </c>
      <c r="Q7" s="621" t="s">
        <v>259</v>
      </c>
      <c r="S7" s="131"/>
      <c r="T7" s="131"/>
      <c r="U7" s="131"/>
    </row>
    <row r="8" spans="1:21" ht="15.6" thickTop="1" thickBot="1">
      <c r="A8" s="608"/>
      <c r="B8" s="622" t="s">
        <v>48</v>
      </c>
      <c r="C8" s="623" t="s">
        <v>587</v>
      </c>
      <c r="D8" s="1310">
        <f>D9+D13+D18+D21+D24+D27</f>
        <v>5152.6370685346847</v>
      </c>
      <c r="E8" s="625">
        <f t="shared" ref="E8:Q8" si="0">E9+E13+E18+E21+E24+E27</f>
        <v>1585.8177306710388</v>
      </c>
      <c r="F8" s="626">
        <f t="shared" si="0"/>
        <v>117.57329188279925</v>
      </c>
      <c r="G8" s="627">
        <f t="shared" si="0"/>
        <v>295.3989666353383</v>
      </c>
      <c r="H8" s="628">
        <f t="shared" si="0"/>
        <v>1172.8454721529017</v>
      </c>
      <c r="I8" s="624">
        <f t="shared" si="0"/>
        <v>3554.3797285493856</v>
      </c>
      <c r="J8" s="626">
        <f t="shared" si="0"/>
        <v>1914.1267863673766</v>
      </c>
      <c r="K8" s="627">
        <f t="shared" si="0"/>
        <v>1612.4204426622734</v>
      </c>
      <c r="L8" s="628">
        <f t="shared" si="0"/>
        <v>27.832499519736015</v>
      </c>
      <c r="M8" s="629">
        <f t="shared" si="0"/>
        <v>0.22723084680392897</v>
      </c>
      <c r="N8" s="624">
        <f>+O8+P8</f>
        <v>10.302939852155037</v>
      </c>
      <c r="O8" s="629">
        <f>O9+O13+O18+O21+O24+O27</f>
        <v>10.302939852155037</v>
      </c>
      <c r="P8" s="628">
        <f t="shared" si="0"/>
        <v>0</v>
      </c>
      <c r="Q8" s="625">
        <f t="shared" si="0"/>
        <v>1.9094386152999758</v>
      </c>
      <c r="S8" s="131"/>
      <c r="T8" s="131"/>
      <c r="U8" s="131"/>
    </row>
    <row r="9" spans="1:21" ht="15" thickTop="1">
      <c r="A9" s="608"/>
      <c r="B9" s="630" t="s">
        <v>93</v>
      </c>
      <c r="C9" s="631" t="s">
        <v>6</v>
      </c>
      <c r="D9" s="632">
        <f t="shared" ref="D9:D53" si="1">O9+E9+I9+M9+P9+Q9</f>
        <v>0</v>
      </c>
      <c r="E9" s="633">
        <f>SUM(F9:H9)</f>
        <v>0</v>
      </c>
      <c r="F9" s="634">
        <f>SUM(F10:F12)</f>
        <v>0</v>
      </c>
      <c r="G9" s="635">
        <f t="shared" ref="G9:Q9" si="2">SUM(G10:G12)</f>
        <v>0</v>
      </c>
      <c r="H9" s="636">
        <f t="shared" si="2"/>
        <v>0</v>
      </c>
      <c r="I9" s="632">
        <f t="shared" ref="I9:I30" si="3">SUM(J9:L9)</f>
        <v>0</v>
      </c>
      <c r="J9" s="634">
        <f t="shared" si="2"/>
        <v>0</v>
      </c>
      <c r="K9" s="635">
        <f t="shared" si="2"/>
        <v>0</v>
      </c>
      <c r="L9" s="636">
        <f t="shared" si="2"/>
        <v>0</v>
      </c>
      <c r="M9" s="637">
        <f t="shared" si="2"/>
        <v>0</v>
      </c>
      <c r="N9" s="632">
        <f t="shared" ref="N9:N72" si="4">+O9+P9</f>
        <v>0</v>
      </c>
      <c r="O9" s="637">
        <f>SUM(O10:O12)</f>
        <v>0</v>
      </c>
      <c r="P9" s="636">
        <f t="shared" si="2"/>
        <v>0</v>
      </c>
      <c r="Q9" s="633">
        <f t="shared" si="2"/>
        <v>0</v>
      </c>
      <c r="S9" s="131"/>
      <c r="T9" s="131"/>
      <c r="U9" s="131"/>
    </row>
    <row r="10" spans="1:21">
      <c r="A10" s="608"/>
      <c r="B10" s="638" t="s">
        <v>95</v>
      </c>
      <c r="C10" s="639" t="s">
        <v>8</v>
      </c>
      <c r="D10" s="632">
        <f t="shared" si="1"/>
        <v>0</v>
      </c>
      <c r="E10" s="633">
        <f t="shared" ref="E10:E30" si="5">SUM(F10:H10)</f>
        <v>0</v>
      </c>
      <c r="F10" s="640">
        <f t="shared" ref="F10:H12" si="6">SUM(F33,F56,F96)</f>
        <v>0</v>
      </c>
      <c r="G10" s="641">
        <f t="shared" si="6"/>
        <v>0</v>
      </c>
      <c r="H10" s="642">
        <f t="shared" si="6"/>
        <v>0</v>
      </c>
      <c r="I10" s="632">
        <f t="shared" si="3"/>
        <v>0</v>
      </c>
      <c r="J10" s="640">
        <f t="shared" ref="J10:Q12" si="7">SUM(J33,J56,J96)</f>
        <v>0</v>
      </c>
      <c r="K10" s="641">
        <f t="shared" si="7"/>
        <v>0</v>
      </c>
      <c r="L10" s="642">
        <f t="shared" si="7"/>
        <v>0</v>
      </c>
      <c r="M10" s="643">
        <f t="shared" si="7"/>
        <v>0</v>
      </c>
      <c r="N10" s="644">
        <f t="shared" si="4"/>
        <v>0</v>
      </c>
      <c r="O10" s="643">
        <f>SUM(O33,O56,O96)</f>
        <v>0</v>
      </c>
      <c r="P10" s="636">
        <f t="shared" si="7"/>
        <v>0</v>
      </c>
      <c r="Q10" s="633">
        <f t="shared" si="7"/>
        <v>0</v>
      </c>
      <c r="S10" s="131"/>
      <c r="T10" s="131"/>
      <c r="U10" s="131"/>
    </row>
    <row r="11" spans="1:21" s="130" customFormat="1">
      <c r="A11" s="608"/>
      <c r="B11" s="638" t="s">
        <v>97</v>
      </c>
      <c r="C11" s="639" t="s">
        <v>9</v>
      </c>
      <c r="D11" s="632">
        <f t="shared" si="1"/>
        <v>0</v>
      </c>
      <c r="E11" s="633">
        <f t="shared" si="5"/>
        <v>0</v>
      </c>
      <c r="F11" s="640">
        <f t="shared" si="6"/>
        <v>0</v>
      </c>
      <c r="G11" s="641">
        <f t="shared" si="6"/>
        <v>0</v>
      </c>
      <c r="H11" s="642">
        <f t="shared" si="6"/>
        <v>0</v>
      </c>
      <c r="I11" s="632">
        <f t="shared" si="3"/>
        <v>0</v>
      </c>
      <c r="J11" s="640">
        <f t="shared" si="7"/>
        <v>0</v>
      </c>
      <c r="K11" s="641">
        <f t="shared" si="7"/>
        <v>0</v>
      </c>
      <c r="L11" s="642">
        <f t="shared" si="7"/>
        <v>0</v>
      </c>
      <c r="M11" s="643">
        <f t="shared" si="7"/>
        <v>0</v>
      </c>
      <c r="N11" s="644">
        <f t="shared" si="4"/>
        <v>0</v>
      </c>
      <c r="O11" s="643">
        <f>SUM(O34,O57,O97)</f>
        <v>0</v>
      </c>
      <c r="P11" s="636">
        <f t="shared" si="7"/>
        <v>0</v>
      </c>
      <c r="Q11" s="633">
        <f t="shared" si="7"/>
        <v>0</v>
      </c>
      <c r="R11" s="131"/>
      <c r="S11" s="131"/>
      <c r="T11" s="131"/>
      <c r="U11" s="131"/>
    </row>
    <row r="12" spans="1:21" s="130" customFormat="1">
      <c r="A12" s="608"/>
      <c r="B12" s="638" t="s">
        <v>588</v>
      </c>
      <c r="C12" s="639" t="s">
        <v>11</v>
      </c>
      <c r="D12" s="632">
        <f t="shared" si="1"/>
        <v>0</v>
      </c>
      <c r="E12" s="633">
        <f t="shared" si="5"/>
        <v>0</v>
      </c>
      <c r="F12" s="640">
        <f t="shared" si="6"/>
        <v>0</v>
      </c>
      <c r="G12" s="641">
        <f t="shared" si="6"/>
        <v>0</v>
      </c>
      <c r="H12" s="642">
        <f t="shared" si="6"/>
        <v>0</v>
      </c>
      <c r="I12" s="632">
        <f t="shared" si="3"/>
        <v>0</v>
      </c>
      <c r="J12" s="640">
        <f t="shared" si="7"/>
        <v>0</v>
      </c>
      <c r="K12" s="641">
        <f t="shared" si="7"/>
        <v>0</v>
      </c>
      <c r="L12" s="642">
        <f t="shared" si="7"/>
        <v>0</v>
      </c>
      <c r="M12" s="643">
        <f t="shared" si="7"/>
        <v>0</v>
      </c>
      <c r="N12" s="644">
        <f t="shared" si="4"/>
        <v>0</v>
      </c>
      <c r="O12" s="643">
        <f>SUM(O35,O58,O98)</f>
        <v>0</v>
      </c>
      <c r="P12" s="636">
        <f t="shared" si="7"/>
        <v>0</v>
      </c>
      <c r="Q12" s="633">
        <f t="shared" si="7"/>
        <v>0</v>
      </c>
      <c r="R12" s="131"/>
      <c r="S12" s="131"/>
      <c r="T12" s="131"/>
      <c r="U12" s="131"/>
    </row>
    <row r="13" spans="1:21" s="130" customFormat="1">
      <c r="A13" s="608"/>
      <c r="B13" s="630" t="s">
        <v>99</v>
      </c>
      <c r="C13" s="646" t="s">
        <v>13</v>
      </c>
      <c r="D13" s="632">
        <f t="shared" si="1"/>
        <v>5004.105276731867</v>
      </c>
      <c r="E13" s="633">
        <f t="shared" si="5"/>
        <v>1565.9346968173659</v>
      </c>
      <c r="F13" s="634">
        <f>SUM(F14:F17)</f>
        <v>115.2486193722638</v>
      </c>
      <c r="G13" s="635">
        <f>SUM(G14:G17)</f>
        <v>292.16627484920372</v>
      </c>
      <c r="H13" s="636">
        <f>SUM(H14:H17)</f>
        <v>1158.5198025958985</v>
      </c>
      <c r="I13" s="632">
        <f t="shared" si="3"/>
        <v>3433.6840694147959</v>
      </c>
      <c r="J13" s="634">
        <f t="shared" ref="J13:Q13" si="8">SUM(J14:J17)</f>
        <v>1827.0253864516781</v>
      </c>
      <c r="K13" s="635">
        <f t="shared" si="8"/>
        <v>1585.798048842787</v>
      </c>
      <c r="L13" s="636">
        <f t="shared" si="8"/>
        <v>20.860634120331028</v>
      </c>
      <c r="M13" s="637">
        <f t="shared" si="8"/>
        <v>0.22723084680392897</v>
      </c>
      <c r="N13" s="632">
        <f t="shared" si="4"/>
        <v>2.3498410376011072</v>
      </c>
      <c r="O13" s="637">
        <f>SUM(O14:O17)</f>
        <v>2.3498410376011072</v>
      </c>
      <c r="P13" s="636">
        <f t="shared" si="8"/>
        <v>0</v>
      </c>
      <c r="Q13" s="633">
        <f t="shared" si="8"/>
        <v>1.9094386152999758</v>
      </c>
      <c r="R13" s="131"/>
      <c r="S13" s="131"/>
      <c r="T13" s="131"/>
      <c r="U13" s="131"/>
    </row>
    <row r="14" spans="1:21" s="130" customFormat="1">
      <c r="A14" s="608"/>
      <c r="B14" s="638" t="s">
        <v>101</v>
      </c>
      <c r="C14" s="639" t="s">
        <v>15</v>
      </c>
      <c r="D14" s="632">
        <f t="shared" si="1"/>
        <v>96.172474283333344</v>
      </c>
      <c r="E14" s="633">
        <f t="shared" si="5"/>
        <v>32.051170077079391</v>
      </c>
      <c r="F14" s="640">
        <f t="shared" ref="F14:H17" si="9">SUM(F37,F60,F100)</f>
        <v>14.291415610123966</v>
      </c>
      <c r="G14" s="641">
        <f t="shared" si="9"/>
        <v>3.5954777008644534</v>
      </c>
      <c r="H14" s="642">
        <f t="shared" si="9"/>
        <v>14.164276766090973</v>
      </c>
      <c r="I14" s="632">
        <f t="shared" si="3"/>
        <v>59.85179514122791</v>
      </c>
      <c r="J14" s="640">
        <f t="shared" ref="J14:Q17" si="10">SUM(J37,J60,J100)</f>
        <v>25.354791668097974</v>
      </c>
      <c r="K14" s="641">
        <f t="shared" si="10"/>
        <v>27.62327592107405</v>
      </c>
      <c r="L14" s="642">
        <f t="shared" si="10"/>
        <v>6.8737275520558834</v>
      </c>
      <c r="M14" s="643">
        <f t="shared" si="10"/>
        <v>0.21625239763479309</v>
      </c>
      <c r="N14" s="644">
        <f t="shared" si="4"/>
        <v>2.2360708209142657</v>
      </c>
      <c r="O14" s="643">
        <f>SUM(O37,O60,O100)</f>
        <v>2.2360708209142657</v>
      </c>
      <c r="P14" s="636">
        <f t="shared" si="10"/>
        <v>0</v>
      </c>
      <c r="Q14" s="633">
        <f t="shared" si="10"/>
        <v>1.8171858464769821</v>
      </c>
      <c r="R14" s="131"/>
      <c r="S14" s="131"/>
      <c r="T14" s="131"/>
      <c r="U14" s="131"/>
    </row>
    <row r="15" spans="1:21" s="130" customFormat="1">
      <c r="A15" s="608"/>
      <c r="B15" s="638" t="s">
        <v>107</v>
      </c>
      <c r="C15" s="639" t="s">
        <v>589</v>
      </c>
      <c r="D15" s="632">
        <f t="shared" si="1"/>
        <v>10.78512765553789</v>
      </c>
      <c r="E15" s="633">
        <f t="shared" si="5"/>
        <v>8.9496842242623256</v>
      </c>
      <c r="F15" s="640">
        <f t="shared" si="9"/>
        <v>8.344169224011166</v>
      </c>
      <c r="G15" s="641">
        <f t="shared" si="9"/>
        <v>0.11256032328993434</v>
      </c>
      <c r="H15" s="642">
        <f t="shared" si="9"/>
        <v>0.49295467696122658</v>
      </c>
      <c r="I15" s="632">
        <f t="shared" si="3"/>
        <v>1.8352334923473723</v>
      </c>
      <c r="J15" s="640">
        <f t="shared" si="10"/>
        <v>1.18874311142728</v>
      </c>
      <c r="K15" s="641">
        <f t="shared" si="10"/>
        <v>0.4037343512061406</v>
      </c>
      <c r="L15" s="642">
        <f t="shared" si="10"/>
        <v>0.24275602971395163</v>
      </c>
      <c r="M15" s="643">
        <f t="shared" si="10"/>
        <v>0</v>
      </c>
      <c r="N15" s="644">
        <f t="shared" si="4"/>
        <v>2.099389281927392E-4</v>
      </c>
      <c r="O15" s="643">
        <f>SUM(O38,O61,O101)</f>
        <v>2.099389281927392E-4</v>
      </c>
      <c r="P15" s="636">
        <f t="shared" si="10"/>
        <v>0</v>
      </c>
      <c r="Q15" s="633">
        <f t="shared" si="10"/>
        <v>0</v>
      </c>
      <c r="R15" s="131"/>
      <c r="S15" s="131"/>
      <c r="T15" s="131"/>
      <c r="U15" s="131"/>
    </row>
    <row r="16" spans="1:21" s="130" customFormat="1">
      <c r="A16" s="608"/>
      <c r="B16" s="638" t="s">
        <v>114</v>
      </c>
      <c r="C16" s="639" t="s">
        <v>21</v>
      </c>
      <c r="D16" s="632">
        <f t="shared" si="1"/>
        <v>2437.7245355093401</v>
      </c>
      <c r="E16" s="633">
        <f t="shared" si="5"/>
        <v>1098.63859795548</v>
      </c>
      <c r="F16" s="640">
        <f t="shared" si="9"/>
        <v>0</v>
      </c>
      <c r="G16" s="641">
        <f t="shared" si="9"/>
        <v>0</v>
      </c>
      <c r="H16" s="642">
        <f t="shared" si="9"/>
        <v>1098.63859795548</v>
      </c>
      <c r="I16" s="632">
        <f t="shared" si="3"/>
        <v>1339.08593755386</v>
      </c>
      <c r="J16" s="640">
        <f t="shared" si="10"/>
        <v>1339.08593755386</v>
      </c>
      <c r="K16" s="641">
        <f t="shared" si="10"/>
        <v>0</v>
      </c>
      <c r="L16" s="642">
        <f t="shared" si="10"/>
        <v>0</v>
      </c>
      <c r="M16" s="643">
        <f t="shared" si="10"/>
        <v>0</v>
      </c>
      <c r="N16" s="644">
        <f t="shared" si="4"/>
        <v>0</v>
      </c>
      <c r="O16" s="643">
        <f>SUM(O39,O62,O102)</f>
        <v>0</v>
      </c>
      <c r="P16" s="636">
        <f t="shared" si="10"/>
        <v>0</v>
      </c>
      <c r="Q16" s="633">
        <f t="shared" si="10"/>
        <v>0</v>
      </c>
      <c r="R16" s="131"/>
      <c r="S16" s="131"/>
      <c r="T16" s="131"/>
      <c r="U16" s="131"/>
    </row>
    <row r="17" spans="1:21" s="130" customFormat="1" ht="39.6">
      <c r="A17" s="608"/>
      <c r="B17" s="638" t="s">
        <v>590</v>
      </c>
      <c r="C17" s="639" t="s">
        <v>591</v>
      </c>
      <c r="D17" s="632">
        <f t="shared" si="1"/>
        <v>2459.4231392836555</v>
      </c>
      <c r="E17" s="633">
        <f t="shared" si="5"/>
        <v>426.29524456054412</v>
      </c>
      <c r="F17" s="640">
        <f t="shared" si="9"/>
        <v>92.613034538128673</v>
      </c>
      <c r="G17" s="641">
        <f t="shared" si="9"/>
        <v>288.45823682504931</v>
      </c>
      <c r="H17" s="642">
        <f t="shared" si="9"/>
        <v>45.223973197366121</v>
      </c>
      <c r="I17" s="632">
        <f t="shared" si="3"/>
        <v>2032.9111032273606</v>
      </c>
      <c r="J17" s="640">
        <f t="shared" si="10"/>
        <v>461.39591411829264</v>
      </c>
      <c r="K17" s="641">
        <f t="shared" si="10"/>
        <v>1557.7710385705068</v>
      </c>
      <c r="L17" s="642">
        <f t="shared" si="10"/>
        <v>13.744150538561193</v>
      </c>
      <c r="M17" s="643">
        <f t="shared" si="10"/>
        <v>1.0978449169135865E-2</v>
      </c>
      <c r="N17" s="644">
        <f t="shared" si="4"/>
        <v>0.11356027775864867</v>
      </c>
      <c r="O17" s="643">
        <f>SUM(O40,O63,O103)</f>
        <v>0.11356027775864867</v>
      </c>
      <c r="P17" s="636">
        <f t="shared" si="10"/>
        <v>0</v>
      </c>
      <c r="Q17" s="633">
        <f t="shared" si="10"/>
        <v>9.2252768822993686E-2</v>
      </c>
      <c r="R17" s="131"/>
      <c r="S17" s="131"/>
      <c r="T17" s="131"/>
      <c r="U17" s="131"/>
    </row>
    <row r="18" spans="1:21" s="130" customFormat="1">
      <c r="A18" s="608"/>
      <c r="B18" s="630" t="s">
        <v>121</v>
      </c>
      <c r="C18" s="647" t="s">
        <v>25</v>
      </c>
      <c r="D18" s="632">
        <f t="shared" si="1"/>
        <v>49.672003692380436</v>
      </c>
      <c r="E18" s="633">
        <f t="shared" si="5"/>
        <v>0.92495468178354601</v>
      </c>
      <c r="F18" s="634">
        <f>SUM(F19:F20)</f>
        <v>0.58517486250575945</v>
      </c>
      <c r="G18" s="635">
        <f t="shared" ref="G18:Q18" si="11">SUM(G19:G20)</f>
        <v>3.1897252364405736E-2</v>
      </c>
      <c r="H18" s="636">
        <f t="shared" si="11"/>
        <v>0.30788256691338078</v>
      </c>
      <c r="I18" s="632">
        <f t="shared" si="3"/>
        <v>48.7469895182751</v>
      </c>
      <c r="J18" s="634">
        <f t="shared" si="11"/>
        <v>33.536498370606644</v>
      </c>
      <c r="K18" s="635">
        <f t="shared" si="11"/>
        <v>15.141699142488958</v>
      </c>
      <c r="L18" s="636">
        <f t="shared" si="11"/>
        <v>6.8792005179497642E-2</v>
      </c>
      <c r="M18" s="637">
        <f t="shared" si="11"/>
        <v>0</v>
      </c>
      <c r="N18" s="632">
        <f t="shared" si="4"/>
        <v>5.949232178756087E-5</v>
      </c>
      <c r="O18" s="637">
        <f>SUM(O19:O20)</f>
        <v>5.949232178756087E-5</v>
      </c>
      <c r="P18" s="636">
        <f t="shared" si="11"/>
        <v>0</v>
      </c>
      <c r="Q18" s="633">
        <f t="shared" si="11"/>
        <v>0</v>
      </c>
      <c r="R18" s="131"/>
      <c r="S18" s="131"/>
      <c r="T18" s="131"/>
      <c r="U18" s="131"/>
    </row>
    <row r="19" spans="1:21" s="130" customFormat="1" ht="53.4">
      <c r="A19" s="608"/>
      <c r="B19" s="638" t="s">
        <v>123</v>
      </c>
      <c r="C19" s="648" t="s">
        <v>592</v>
      </c>
      <c r="D19" s="632">
        <f t="shared" si="1"/>
        <v>38.393289539227283</v>
      </c>
      <c r="E19" s="633">
        <f t="shared" si="5"/>
        <v>0.92495468178354601</v>
      </c>
      <c r="F19" s="640">
        <f>SUM(F42,F65,F105)</f>
        <v>0.58517486250575945</v>
      </c>
      <c r="G19" s="641">
        <f>SUM(G42,G65,G105)</f>
        <v>3.1897252364405736E-2</v>
      </c>
      <c r="H19" s="642">
        <f>SUM(H42,H65,H105)</f>
        <v>0.30788256691338078</v>
      </c>
      <c r="I19" s="632">
        <f t="shared" si="3"/>
        <v>37.468275365121947</v>
      </c>
      <c r="J19" s="640">
        <f t="shared" ref="J19:Q19" si="12">SUM(J42,J65,J105)</f>
        <v>26.105717550786824</v>
      </c>
      <c r="K19" s="641">
        <f t="shared" si="12"/>
        <v>11.293765809155625</v>
      </c>
      <c r="L19" s="642">
        <f t="shared" si="12"/>
        <v>6.8792005179497642E-2</v>
      </c>
      <c r="M19" s="643">
        <f t="shared" si="12"/>
        <v>0</v>
      </c>
      <c r="N19" s="644">
        <f t="shared" si="4"/>
        <v>5.949232178756087E-5</v>
      </c>
      <c r="O19" s="643">
        <f>SUM(O42,O65,O105)</f>
        <v>5.949232178756087E-5</v>
      </c>
      <c r="P19" s="636">
        <f t="shared" si="12"/>
        <v>0</v>
      </c>
      <c r="Q19" s="633">
        <f t="shared" si="12"/>
        <v>0</v>
      </c>
      <c r="R19" s="131"/>
      <c r="S19" s="131"/>
      <c r="T19" s="131"/>
      <c r="U19" s="131"/>
    </row>
    <row r="20" spans="1:21" s="130" customFormat="1">
      <c r="A20" s="608"/>
      <c r="B20" s="638" t="s">
        <v>125</v>
      </c>
      <c r="C20" s="648" t="s">
        <v>29</v>
      </c>
      <c r="D20" s="632">
        <f t="shared" si="1"/>
        <v>11.278714153153153</v>
      </c>
      <c r="E20" s="633">
        <f t="shared" si="5"/>
        <v>0</v>
      </c>
      <c r="F20" s="640">
        <f>SUM(F43,F66)</f>
        <v>0</v>
      </c>
      <c r="G20" s="641">
        <f>SUM(G43,G66)</f>
        <v>0</v>
      </c>
      <c r="H20" s="642">
        <f>SUM(H43,H66)</f>
        <v>0</v>
      </c>
      <c r="I20" s="632">
        <f t="shared" si="3"/>
        <v>11.278714153153153</v>
      </c>
      <c r="J20" s="640">
        <f t="shared" ref="J20:Q20" si="13">SUM(J43,J66)</f>
        <v>7.4307808198198204</v>
      </c>
      <c r="K20" s="641">
        <f t="shared" si="13"/>
        <v>3.8479333333333336</v>
      </c>
      <c r="L20" s="642">
        <f t="shared" si="13"/>
        <v>0</v>
      </c>
      <c r="M20" s="643">
        <f t="shared" si="13"/>
        <v>0</v>
      </c>
      <c r="N20" s="644">
        <f t="shared" si="4"/>
        <v>0</v>
      </c>
      <c r="O20" s="643">
        <f>SUM(O43,O66)</f>
        <v>0</v>
      </c>
      <c r="P20" s="636">
        <f t="shared" si="13"/>
        <v>0</v>
      </c>
      <c r="Q20" s="633">
        <f t="shared" si="13"/>
        <v>0</v>
      </c>
      <c r="R20" s="131"/>
      <c r="S20" s="131"/>
      <c r="T20" s="131"/>
      <c r="U20" s="131"/>
    </row>
    <row r="21" spans="1:21" s="130" customFormat="1">
      <c r="A21" s="608"/>
      <c r="B21" s="630" t="s">
        <v>265</v>
      </c>
      <c r="C21" s="647" t="s">
        <v>31</v>
      </c>
      <c r="D21" s="632">
        <f t="shared" si="1"/>
        <v>21.221574583333343</v>
      </c>
      <c r="E21" s="633">
        <f t="shared" si="5"/>
        <v>3.393401243183531</v>
      </c>
      <c r="F21" s="634">
        <f>SUM(F22:F23)</f>
        <v>0.13361315822374911</v>
      </c>
      <c r="G21" s="635">
        <f t="shared" ref="G21:Q21" si="14">SUM(G22:G23)</f>
        <v>0.60596814372485153</v>
      </c>
      <c r="H21" s="636">
        <f t="shared" si="14"/>
        <v>2.6538199412349304</v>
      </c>
      <c r="I21" s="632">
        <f t="shared" si="3"/>
        <v>9.8799736901507487</v>
      </c>
      <c r="J21" s="634">
        <f t="shared" si="14"/>
        <v>6.399594773211791</v>
      </c>
      <c r="K21" s="635">
        <f t="shared" si="14"/>
        <v>2.1735026002738929</v>
      </c>
      <c r="L21" s="636">
        <f t="shared" si="14"/>
        <v>1.3068763166650639</v>
      </c>
      <c r="M21" s="637">
        <f t="shared" si="14"/>
        <v>0</v>
      </c>
      <c r="N21" s="632">
        <f t="shared" si="4"/>
        <v>7.9481996499990641</v>
      </c>
      <c r="O21" s="637">
        <f>SUM(O22:O23)</f>
        <v>7.9481996499990641</v>
      </c>
      <c r="P21" s="636">
        <f t="shared" si="14"/>
        <v>0</v>
      </c>
      <c r="Q21" s="633">
        <f t="shared" si="14"/>
        <v>0</v>
      </c>
      <c r="R21" s="131"/>
      <c r="S21" s="131"/>
      <c r="T21" s="131"/>
      <c r="U21" s="131"/>
    </row>
    <row r="22" spans="1:21" s="130" customFormat="1">
      <c r="A22" s="608"/>
      <c r="B22" s="649" t="s">
        <v>593</v>
      </c>
      <c r="C22" s="648" t="s">
        <v>594</v>
      </c>
      <c r="D22" s="632">
        <f t="shared" si="1"/>
        <v>7.9470694444444403</v>
      </c>
      <c r="E22" s="650">
        <f t="shared" si="5"/>
        <v>0</v>
      </c>
      <c r="F22" s="651">
        <f t="shared" ref="F22:H23" si="15">SUM(F45,F68,F107)</f>
        <v>0</v>
      </c>
      <c r="G22" s="652">
        <f t="shared" si="15"/>
        <v>0</v>
      </c>
      <c r="H22" s="653">
        <f t="shared" si="15"/>
        <v>0</v>
      </c>
      <c r="I22" s="654">
        <f t="shared" si="3"/>
        <v>0</v>
      </c>
      <c r="J22" s="651">
        <f t="shared" ref="J22:Q23" si="16">SUM(J45,J68,J107)</f>
        <v>0</v>
      </c>
      <c r="K22" s="652">
        <f t="shared" si="16"/>
        <v>0</v>
      </c>
      <c r="L22" s="653">
        <f t="shared" si="16"/>
        <v>0</v>
      </c>
      <c r="M22" s="655">
        <f t="shared" si="16"/>
        <v>0</v>
      </c>
      <c r="N22" s="364">
        <f t="shared" si="4"/>
        <v>7.9470694444444403</v>
      </c>
      <c r="O22" s="643">
        <f>SUM(O45,O68,O107)</f>
        <v>7.9470694444444403</v>
      </c>
      <c r="P22" s="653">
        <f t="shared" si="16"/>
        <v>0</v>
      </c>
      <c r="Q22" s="656">
        <f t="shared" si="16"/>
        <v>0</v>
      </c>
      <c r="R22" s="131"/>
      <c r="S22" s="131"/>
      <c r="T22" s="131"/>
      <c r="U22" s="131"/>
    </row>
    <row r="23" spans="1:21" s="130" customFormat="1" ht="27">
      <c r="A23" s="608"/>
      <c r="B23" s="649" t="s">
        <v>595</v>
      </c>
      <c r="C23" s="657" t="s">
        <v>596</v>
      </c>
      <c r="D23" s="632">
        <f t="shared" si="1"/>
        <v>13.274505138888903</v>
      </c>
      <c r="E23" s="650">
        <f t="shared" si="5"/>
        <v>3.393401243183531</v>
      </c>
      <c r="F23" s="651">
        <f t="shared" si="15"/>
        <v>0.13361315822374911</v>
      </c>
      <c r="G23" s="652">
        <f t="shared" si="15"/>
        <v>0.60596814372485153</v>
      </c>
      <c r="H23" s="653">
        <f t="shared" si="15"/>
        <v>2.6538199412349304</v>
      </c>
      <c r="I23" s="654">
        <f t="shared" si="3"/>
        <v>9.8799736901507487</v>
      </c>
      <c r="J23" s="651">
        <f t="shared" si="16"/>
        <v>6.399594773211791</v>
      </c>
      <c r="K23" s="652">
        <f t="shared" si="16"/>
        <v>2.1735026002738929</v>
      </c>
      <c r="L23" s="653">
        <f t="shared" si="16"/>
        <v>1.3068763166650639</v>
      </c>
      <c r="M23" s="655">
        <f t="shared" si="16"/>
        <v>0</v>
      </c>
      <c r="N23" s="364">
        <f t="shared" si="4"/>
        <v>1.1302055546238408E-3</v>
      </c>
      <c r="O23" s="643">
        <f>SUM(O46,O69,O108)</f>
        <v>1.1302055546238408E-3</v>
      </c>
      <c r="P23" s="653">
        <f t="shared" si="16"/>
        <v>0</v>
      </c>
      <c r="Q23" s="656">
        <f t="shared" si="16"/>
        <v>0</v>
      </c>
      <c r="R23" s="131"/>
      <c r="S23" s="131"/>
      <c r="T23" s="131"/>
      <c r="U23" s="131"/>
    </row>
    <row r="24" spans="1:21" s="130" customFormat="1">
      <c r="A24" s="608"/>
      <c r="B24" s="630" t="s">
        <v>267</v>
      </c>
      <c r="C24" s="658" t="s">
        <v>37</v>
      </c>
      <c r="D24" s="659">
        <f t="shared" si="1"/>
        <v>77.638213527102891</v>
      </c>
      <c r="E24" s="660">
        <f t="shared" si="5"/>
        <v>15.564677928706052</v>
      </c>
      <c r="F24" s="661">
        <f>SUM(F25:F26)</f>
        <v>1.6058844898059479</v>
      </c>
      <c r="G24" s="662">
        <f>SUM(G25:G26)</f>
        <v>2.594826390045319</v>
      </c>
      <c r="H24" s="663">
        <f>SUM(H25:H26)</f>
        <v>11.363967048854786</v>
      </c>
      <c r="I24" s="664">
        <f t="shared" si="3"/>
        <v>62.068695926163763</v>
      </c>
      <c r="J24" s="661">
        <f t="shared" ref="J24:Q24" si="17">SUM(J25:J26)</f>
        <v>47.165306771879777</v>
      </c>
      <c r="K24" s="662">
        <f t="shared" si="17"/>
        <v>9.3071920767235561</v>
      </c>
      <c r="L24" s="663">
        <f t="shared" si="17"/>
        <v>5.5961970775604257</v>
      </c>
      <c r="M24" s="665">
        <f t="shared" si="17"/>
        <v>0</v>
      </c>
      <c r="N24" s="664">
        <f t="shared" si="4"/>
        <v>4.8396722330759628E-3</v>
      </c>
      <c r="O24" s="665">
        <f>SUM(O25:O26)</f>
        <v>4.8396722330759628E-3</v>
      </c>
      <c r="P24" s="663">
        <f t="shared" si="17"/>
        <v>0</v>
      </c>
      <c r="Q24" s="660">
        <f t="shared" si="17"/>
        <v>0</v>
      </c>
      <c r="R24" s="131"/>
      <c r="S24" s="131"/>
      <c r="T24" s="131"/>
      <c r="U24" s="131"/>
    </row>
    <row r="25" spans="1:21" s="130" customFormat="1">
      <c r="A25" s="608"/>
      <c r="B25" s="666" t="s">
        <v>269</v>
      </c>
      <c r="C25" s="667" t="s">
        <v>39</v>
      </c>
      <c r="D25" s="668">
        <f t="shared" si="1"/>
        <v>8.6308402030707967</v>
      </c>
      <c r="E25" s="669">
        <f t="shared" si="5"/>
        <v>2.2063273597308868</v>
      </c>
      <c r="F25" s="670">
        <f t="shared" ref="F25:H26" si="18">SUM(F48,F71,F110)</f>
        <v>8.6872829200872012E-2</v>
      </c>
      <c r="G25" s="671">
        <f t="shared" si="18"/>
        <v>0.3939893925927842</v>
      </c>
      <c r="H25" s="672">
        <f t="shared" si="18"/>
        <v>1.7254651379372306</v>
      </c>
      <c r="I25" s="407">
        <f t="shared" si="3"/>
        <v>6.4237780043808286</v>
      </c>
      <c r="J25" s="670">
        <f t="shared" ref="J25:Q26" si="19">SUM(J48,J71,J110)</f>
        <v>4.1608993536177294</v>
      </c>
      <c r="K25" s="671">
        <f t="shared" si="19"/>
        <v>1.4131715968052276</v>
      </c>
      <c r="L25" s="672">
        <f t="shared" si="19"/>
        <v>0.84970705395787138</v>
      </c>
      <c r="M25" s="673">
        <f t="shared" si="19"/>
        <v>0</v>
      </c>
      <c r="N25" s="689">
        <f t="shared" si="4"/>
        <v>7.3483895908136654E-4</v>
      </c>
      <c r="O25" s="643">
        <f>SUM(O48,O71,O110)</f>
        <v>7.3483895908136654E-4</v>
      </c>
      <c r="P25" s="672">
        <f t="shared" si="19"/>
        <v>0</v>
      </c>
      <c r="Q25" s="674">
        <f t="shared" si="19"/>
        <v>0</v>
      </c>
      <c r="R25" s="131"/>
      <c r="S25" s="131"/>
      <c r="T25" s="131"/>
      <c r="U25" s="131"/>
    </row>
    <row r="26" spans="1:21" s="130" customFormat="1" ht="27">
      <c r="A26" s="608"/>
      <c r="B26" s="666" t="s">
        <v>271</v>
      </c>
      <c r="C26" s="675" t="s">
        <v>41</v>
      </c>
      <c r="D26" s="659">
        <f t="shared" si="1"/>
        <v>69.007373324032088</v>
      </c>
      <c r="E26" s="660">
        <f t="shared" si="5"/>
        <v>13.358350568975165</v>
      </c>
      <c r="F26" s="510">
        <f t="shared" si="18"/>
        <v>1.5190116606050759</v>
      </c>
      <c r="G26" s="511">
        <f t="shared" si="18"/>
        <v>2.200836997452535</v>
      </c>
      <c r="H26" s="512">
        <f t="shared" si="18"/>
        <v>9.6385019109175545</v>
      </c>
      <c r="I26" s="664">
        <f t="shared" si="3"/>
        <v>55.644917921782927</v>
      </c>
      <c r="J26" s="510">
        <f t="shared" si="19"/>
        <v>43.004407418262048</v>
      </c>
      <c r="K26" s="511">
        <f t="shared" si="19"/>
        <v>7.8940204799183276</v>
      </c>
      <c r="L26" s="512">
        <f t="shared" si="19"/>
        <v>4.7464900236025542</v>
      </c>
      <c r="M26" s="676">
        <f t="shared" si="19"/>
        <v>0</v>
      </c>
      <c r="N26" s="364">
        <f t="shared" si="4"/>
        <v>4.1048332739945965E-3</v>
      </c>
      <c r="O26" s="643">
        <f>SUM(O49,O72,O111)</f>
        <v>4.1048332739945965E-3</v>
      </c>
      <c r="P26" s="512">
        <f t="shared" si="19"/>
        <v>0</v>
      </c>
      <c r="Q26" s="509">
        <f t="shared" si="19"/>
        <v>0</v>
      </c>
      <c r="R26" s="131"/>
      <c r="S26" s="131"/>
      <c r="T26" s="131"/>
      <c r="U26" s="131"/>
    </row>
    <row r="27" spans="1:21" s="130" customFormat="1">
      <c r="A27" s="608"/>
      <c r="B27" s="677" t="s">
        <v>275</v>
      </c>
      <c r="C27" s="678" t="s">
        <v>597</v>
      </c>
      <c r="D27" s="659">
        <f t="shared" si="1"/>
        <v>0</v>
      </c>
      <c r="E27" s="660">
        <f t="shared" si="5"/>
        <v>0</v>
      </c>
      <c r="F27" s="661">
        <f>SUM(F28:F30)</f>
        <v>0</v>
      </c>
      <c r="G27" s="662">
        <f t="shared" ref="G27:Q27" si="20">SUM(G28:G30)</f>
        <v>0</v>
      </c>
      <c r="H27" s="663">
        <f t="shared" si="20"/>
        <v>0</v>
      </c>
      <c r="I27" s="664">
        <f t="shared" si="3"/>
        <v>0</v>
      </c>
      <c r="J27" s="661">
        <f t="shared" si="20"/>
        <v>0</v>
      </c>
      <c r="K27" s="662">
        <f t="shared" si="20"/>
        <v>0</v>
      </c>
      <c r="L27" s="663">
        <f t="shared" si="20"/>
        <v>0</v>
      </c>
      <c r="M27" s="665">
        <f t="shared" si="20"/>
        <v>0</v>
      </c>
      <c r="N27" s="664">
        <f t="shared" si="4"/>
        <v>0</v>
      </c>
      <c r="O27" s="665">
        <f>SUM(O28:O30)</f>
        <v>0</v>
      </c>
      <c r="P27" s="663">
        <f t="shared" si="20"/>
        <v>0</v>
      </c>
      <c r="Q27" s="660">
        <f t="shared" si="20"/>
        <v>0</v>
      </c>
      <c r="R27" s="131"/>
      <c r="S27" s="131"/>
      <c r="T27" s="131"/>
      <c r="U27" s="131"/>
    </row>
    <row r="28" spans="1:21" s="130" customFormat="1">
      <c r="A28" s="608"/>
      <c r="B28" s="679" t="s">
        <v>277</v>
      </c>
      <c r="C28" s="675" t="s">
        <v>1352</v>
      </c>
      <c r="D28" s="659">
        <f t="shared" si="1"/>
        <v>0</v>
      </c>
      <c r="E28" s="660">
        <f t="shared" si="5"/>
        <v>0</v>
      </c>
      <c r="F28" s="510">
        <f t="shared" ref="F28:H30" si="21">SUM(F51,F74,F113)</f>
        <v>0</v>
      </c>
      <c r="G28" s="511">
        <f t="shared" si="21"/>
        <v>0</v>
      </c>
      <c r="H28" s="512">
        <f t="shared" si="21"/>
        <v>0</v>
      </c>
      <c r="I28" s="664">
        <f t="shared" si="3"/>
        <v>0</v>
      </c>
      <c r="J28" s="510">
        <f t="shared" ref="J28:Q30" si="22">SUM(J51,J74,J113)</f>
        <v>0</v>
      </c>
      <c r="K28" s="511">
        <f t="shared" si="22"/>
        <v>0</v>
      </c>
      <c r="L28" s="512">
        <f t="shared" si="22"/>
        <v>0</v>
      </c>
      <c r="M28" s="676">
        <f t="shared" si="22"/>
        <v>0</v>
      </c>
      <c r="N28" s="513">
        <f t="shared" si="4"/>
        <v>0</v>
      </c>
      <c r="O28" s="676">
        <f>SUM(O51,O74,O113)</f>
        <v>0</v>
      </c>
      <c r="P28" s="512">
        <f t="shared" si="22"/>
        <v>0</v>
      </c>
      <c r="Q28" s="509">
        <f t="shared" si="22"/>
        <v>0</v>
      </c>
      <c r="R28" s="131"/>
      <c r="S28" s="131"/>
      <c r="T28" s="131"/>
      <c r="U28" s="131"/>
    </row>
    <row r="29" spans="1:21" s="130" customFormat="1">
      <c r="A29" s="608"/>
      <c r="B29" s="679" t="s">
        <v>598</v>
      </c>
      <c r="C29" s="675" t="s">
        <v>1352</v>
      </c>
      <c r="D29" s="659">
        <f t="shared" si="1"/>
        <v>0</v>
      </c>
      <c r="E29" s="660">
        <f t="shared" si="5"/>
        <v>0</v>
      </c>
      <c r="F29" s="510">
        <f t="shared" si="21"/>
        <v>0</v>
      </c>
      <c r="G29" s="511">
        <f t="shared" si="21"/>
        <v>0</v>
      </c>
      <c r="H29" s="512">
        <f t="shared" si="21"/>
        <v>0</v>
      </c>
      <c r="I29" s="664">
        <f t="shared" si="3"/>
        <v>0</v>
      </c>
      <c r="J29" s="510">
        <f t="shared" si="22"/>
        <v>0</v>
      </c>
      <c r="K29" s="511">
        <f t="shared" si="22"/>
        <v>0</v>
      </c>
      <c r="L29" s="512">
        <f t="shared" si="22"/>
        <v>0</v>
      </c>
      <c r="M29" s="676">
        <f t="shared" si="22"/>
        <v>0</v>
      </c>
      <c r="N29" s="513">
        <f t="shared" si="4"/>
        <v>0</v>
      </c>
      <c r="O29" s="676">
        <f>SUM(O52,O75,O114)</f>
        <v>0</v>
      </c>
      <c r="P29" s="512">
        <f t="shared" si="22"/>
        <v>0</v>
      </c>
      <c r="Q29" s="509">
        <f t="shared" si="22"/>
        <v>0</v>
      </c>
      <c r="R29" s="131"/>
      <c r="S29" s="131"/>
      <c r="T29" s="131"/>
      <c r="U29" s="131"/>
    </row>
    <row r="30" spans="1:21" s="130" customFormat="1" ht="15" thickBot="1">
      <c r="A30" s="608"/>
      <c r="B30" s="680" t="s">
        <v>599</v>
      </c>
      <c r="C30" s="681" t="s">
        <v>1352</v>
      </c>
      <c r="D30" s="682">
        <f t="shared" si="1"/>
        <v>0</v>
      </c>
      <c r="E30" s="683">
        <f t="shared" si="5"/>
        <v>0</v>
      </c>
      <c r="F30" s="684">
        <f t="shared" si="21"/>
        <v>0</v>
      </c>
      <c r="G30" s="685">
        <f t="shared" si="21"/>
        <v>0</v>
      </c>
      <c r="H30" s="686">
        <f t="shared" si="21"/>
        <v>0</v>
      </c>
      <c r="I30" s="687">
        <f t="shared" si="3"/>
        <v>0</v>
      </c>
      <c r="J30" s="684">
        <f t="shared" si="22"/>
        <v>0</v>
      </c>
      <c r="K30" s="685">
        <f t="shared" si="22"/>
        <v>0</v>
      </c>
      <c r="L30" s="686">
        <f t="shared" si="22"/>
        <v>0</v>
      </c>
      <c r="M30" s="688">
        <f t="shared" si="22"/>
        <v>0</v>
      </c>
      <c r="N30" s="689">
        <f t="shared" si="4"/>
        <v>0</v>
      </c>
      <c r="O30" s="688">
        <f>SUM(O53,O76,O115)</f>
        <v>0</v>
      </c>
      <c r="P30" s="686">
        <f t="shared" si="22"/>
        <v>0</v>
      </c>
      <c r="Q30" s="690">
        <f t="shared" si="22"/>
        <v>0</v>
      </c>
      <c r="R30" s="131"/>
      <c r="S30" s="131"/>
      <c r="T30" s="131"/>
      <c r="U30" s="131"/>
    </row>
    <row r="31" spans="1:21" s="130" customFormat="1" ht="15.6" thickTop="1" thickBot="1">
      <c r="A31" s="608"/>
      <c r="B31" s="850" t="s">
        <v>50</v>
      </c>
      <c r="C31" s="851" t="s">
        <v>600</v>
      </c>
      <c r="D31" s="852">
        <f t="shared" si="1"/>
        <v>4998.0811199728023</v>
      </c>
      <c r="E31" s="853">
        <f>E32+E36+E41+E44+E47+E50</f>
        <v>1544.2975783895643</v>
      </c>
      <c r="F31" s="854">
        <f t="shared" ref="F31:Q31" si="23">F32+F36+F41+F44+F47+F50</f>
        <v>112.83145761029775</v>
      </c>
      <c r="G31" s="855">
        <f t="shared" si="23"/>
        <v>288.2531626666667</v>
      </c>
      <c r="H31" s="856">
        <f t="shared" si="23"/>
        <v>1143.2129581125998</v>
      </c>
      <c r="I31" s="852">
        <f t="shared" si="23"/>
        <v>3445.8364721387934</v>
      </c>
      <c r="J31" s="854">
        <f t="shared" si="23"/>
        <v>1851.9177199271426</v>
      </c>
      <c r="K31" s="855">
        <f t="shared" si="23"/>
        <v>1580.5721772830798</v>
      </c>
      <c r="L31" s="856">
        <f t="shared" si="23"/>
        <v>13.346574928571428</v>
      </c>
      <c r="M31" s="857">
        <f t="shared" si="23"/>
        <v>0</v>
      </c>
      <c r="N31" s="852">
        <f t="shared" si="4"/>
        <v>7.9470694444444403</v>
      </c>
      <c r="O31" s="857">
        <f>O32+O36+O41+O44+O47+O50</f>
        <v>7.9470694444444403</v>
      </c>
      <c r="P31" s="856">
        <f t="shared" si="23"/>
        <v>0</v>
      </c>
      <c r="Q31" s="853">
        <f t="shared" si="23"/>
        <v>0</v>
      </c>
      <c r="R31" s="131"/>
      <c r="S31" s="131"/>
      <c r="T31" s="131"/>
      <c r="U31" s="131"/>
    </row>
    <row r="32" spans="1:21" s="130" customFormat="1" ht="15" thickTop="1">
      <c r="A32" s="608"/>
      <c r="B32" s="630" t="s">
        <v>52</v>
      </c>
      <c r="C32" s="631" t="s">
        <v>6</v>
      </c>
      <c r="D32" s="632">
        <f t="shared" si="1"/>
        <v>0</v>
      </c>
      <c r="E32" s="633">
        <f>SUM(F32:H32)</f>
        <v>0</v>
      </c>
      <c r="F32" s="634">
        <f>SUM(F33:F35)</f>
        <v>0</v>
      </c>
      <c r="G32" s="635">
        <f>SUM(G33:G35)</f>
        <v>0</v>
      </c>
      <c r="H32" s="636">
        <f>SUM(H33:H35)</f>
        <v>0</v>
      </c>
      <c r="I32" s="632">
        <f t="shared" ref="I32:I50" si="24">SUM(J32:L32)</f>
        <v>0</v>
      </c>
      <c r="J32" s="634">
        <f t="shared" ref="J32:Q32" si="25">SUM(J33:J35)</f>
        <v>0</v>
      </c>
      <c r="K32" s="635">
        <f t="shared" si="25"/>
        <v>0</v>
      </c>
      <c r="L32" s="636">
        <f t="shared" si="25"/>
        <v>0</v>
      </c>
      <c r="M32" s="637">
        <f t="shared" si="25"/>
        <v>0</v>
      </c>
      <c r="N32" s="632">
        <f t="shared" si="4"/>
        <v>0</v>
      </c>
      <c r="O32" s="637">
        <f>SUM(O33:O35)</f>
        <v>0</v>
      </c>
      <c r="P32" s="636">
        <f t="shared" si="25"/>
        <v>0</v>
      </c>
      <c r="Q32" s="633">
        <f t="shared" si="25"/>
        <v>0</v>
      </c>
      <c r="R32" s="131"/>
      <c r="S32" s="131"/>
      <c r="T32" s="131"/>
      <c r="U32" s="131"/>
    </row>
    <row r="33" spans="1:21" s="130" customFormat="1">
      <c r="A33" s="608"/>
      <c r="B33" s="638" t="s">
        <v>130</v>
      </c>
      <c r="C33" s="639" t="s">
        <v>8</v>
      </c>
      <c r="D33" s="632">
        <f t="shared" si="1"/>
        <v>0</v>
      </c>
      <c r="E33" s="633">
        <f t="shared" ref="E33:E53" si="26">SUM(F33:H33)</f>
        <v>0</v>
      </c>
      <c r="F33" s="691">
        <v>0</v>
      </c>
      <c r="G33" s="692">
        <v>0</v>
      </c>
      <c r="H33" s="693">
        <v>0</v>
      </c>
      <c r="I33" s="632">
        <f t="shared" si="24"/>
        <v>0</v>
      </c>
      <c r="J33" s="691">
        <v>0</v>
      </c>
      <c r="K33" s="692">
        <v>0</v>
      </c>
      <c r="L33" s="693">
        <v>0</v>
      </c>
      <c r="M33" s="694">
        <v>0</v>
      </c>
      <c r="N33" s="644">
        <f t="shared" si="4"/>
        <v>0</v>
      </c>
      <c r="O33" s="694">
        <v>0</v>
      </c>
      <c r="P33" s="695">
        <v>0</v>
      </c>
      <c r="Q33" s="696">
        <v>0</v>
      </c>
      <c r="R33" s="131" t="s">
        <v>1310</v>
      </c>
      <c r="S33" s="131"/>
      <c r="T33" s="131"/>
      <c r="U33" s="131"/>
    </row>
    <row r="34" spans="1:21" s="130" customFormat="1">
      <c r="A34" s="608"/>
      <c r="B34" s="638" t="s">
        <v>132</v>
      </c>
      <c r="C34" s="639" t="s">
        <v>9</v>
      </c>
      <c r="D34" s="632">
        <f t="shared" si="1"/>
        <v>0</v>
      </c>
      <c r="E34" s="633">
        <f t="shared" si="26"/>
        <v>0</v>
      </c>
      <c r="F34" s="691">
        <v>0</v>
      </c>
      <c r="G34" s="692">
        <v>0</v>
      </c>
      <c r="H34" s="693">
        <v>0</v>
      </c>
      <c r="I34" s="632">
        <f t="shared" si="24"/>
        <v>0</v>
      </c>
      <c r="J34" s="691">
        <v>0</v>
      </c>
      <c r="K34" s="692">
        <v>0</v>
      </c>
      <c r="L34" s="693">
        <v>0</v>
      </c>
      <c r="M34" s="694">
        <v>0</v>
      </c>
      <c r="N34" s="644">
        <f t="shared" si="4"/>
        <v>0</v>
      </c>
      <c r="O34" s="694">
        <v>0</v>
      </c>
      <c r="P34" s="695">
        <v>0</v>
      </c>
      <c r="Q34" s="696">
        <v>0</v>
      </c>
      <c r="R34" s="131" t="s">
        <v>1312</v>
      </c>
      <c r="S34" s="131"/>
      <c r="T34" s="131"/>
      <c r="U34" s="131"/>
    </row>
    <row r="35" spans="1:21" s="130" customFormat="1">
      <c r="A35" s="608"/>
      <c r="B35" s="638" t="s">
        <v>134</v>
      </c>
      <c r="C35" s="639" t="s">
        <v>11</v>
      </c>
      <c r="D35" s="632">
        <f t="shared" si="1"/>
        <v>0</v>
      </c>
      <c r="E35" s="633">
        <f t="shared" si="26"/>
        <v>0</v>
      </c>
      <c r="F35" s="691">
        <v>0</v>
      </c>
      <c r="G35" s="692">
        <v>0</v>
      </c>
      <c r="H35" s="693">
        <v>0</v>
      </c>
      <c r="I35" s="632">
        <f t="shared" si="24"/>
        <v>0</v>
      </c>
      <c r="J35" s="691">
        <v>0</v>
      </c>
      <c r="K35" s="692">
        <v>0</v>
      </c>
      <c r="L35" s="693">
        <v>0</v>
      </c>
      <c r="M35" s="694">
        <v>0</v>
      </c>
      <c r="N35" s="644">
        <f t="shared" si="4"/>
        <v>0</v>
      </c>
      <c r="O35" s="694">
        <v>0</v>
      </c>
      <c r="P35" s="695">
        <v>0</v>
      </c>
      <c r="Q35" s="696">
        <v>0</v>
      </c>
      <c r="R35" s="131" t="s">
        <v>1314</v>
      </c>
      <c r="S35" s="131"/>
      <c r="T35" s="131"/>
      <c r="U35" s="131"/>
    </row>
    <row r="36" spans="1:21" s="130" customFormat="1">
      <c r="A36" s="608"/>
      <c r="B36" s="630" t="s">
        <v>135</v>
      </c>
      <c r="C36" s="646" t="s">
        <v>13</v>
      </c>
      <c r="D36" s="632">
        <f t="shared" si="1"/>
        <v>4920.3655652475773</v>
      </c>
      <c r="E36" s="633">
        <f t="shared" si="26"/>
        <v>1542.5175099136873</v>
      </c>
      <c r="F36" s="634">
        <f>SUM(F37:F40)</f>
        <v>111.21957860810477</v>
      </c>
      <c r="G36" s="635">
        <f>SUM(G37:G40)</f>
        <v>288.2531626666667</v>
      </c>
      <c r="H36" s="636">
        <f>SUM(H37:H40)</f>
        <v>1143.0447686389157</v>
      </c>
      <c r="I36" s="632">
        <f t="shared" si="24"/>
        <v>3377.8480553338904</v>
      </c>
      <c r="J36" s="634">
        <f t="shared" ref="J36:Q36" si="27">SUM(J37:J40)</f>
        <v>1798.9565923544492</v>
      </c>
      <c r="K36" s="635">
        <f t="shared" si="27"/>
        <v>1565.54488805087</v>
      </c>
      <c r="L36" s="636">
        <f t="shared" si="27"/>
        <v>13.346574928571428</v>
      </c>
      <c r="M36" s="637">
        <f t="shared" si="27"/>
        <v>0</v>
      </c>
      <c r="N36" s="632">
        <f t="shared" si="4"/>
        <v>0</v>
      </c>
      <c r="O36" s="637">
        <f>SUM(O37:O40)</f>
        <v>0</v>
      </c>
      <c r="P36" s="636">
        <f t="shared" si="27"/>
        <v>0</v>
      </c>
      <c r="Q36" s="633">
        <f t="shared" si="27"/>
        <v>0</v>
      </c>
      <c r="R36" s="131"/>
      <c r="S36" s="131"/>
      <c r="T36" s="131"/>
      <c r="U36" s="131"/>
    </row>
    <row r="37" spans="1:21" s="130" customFormat="1">
      <c r="A37" s="608"/>
      <c r="B37" s="638" t="s">
        <v>137</v>
      </c>
      <c r="C37" s="639" t="s">
        <v>15</v>
      </c>
      <c r="D37" s="632">
        <f t="shared" si="1"/>
        <v>19.295192666666665</v>
      </c>
      <c r="E37" s="633">
        <f t="shared" si="26"/>
        <v>10.485384666666665</v>
      </c>
      <c r="F37" s="691">
        <v>10.485384666666665</v>
      </c>
      <c r="G37" s="692">
        <v>0</v>
      </c>
      <c r="H37" s="693">
        <v>0</v>
      </c>
      <c r="I37" s="632">
        <f t="shared" si="24"/>
        <v>8.8098079999999985</v>
      </c>
      <c r="J37" s="691">
        <v>0</v>
      </c>
      <c r="K37" s="692">
        <v>8.8098079999999985</v>
      </c>
      <c r="L37" s="693">
        <v>0</v>
      </c>
      <c r="M37" s="694">
        <v>0</v>
      </c>
      <c r="N37" s="644">
        <f t="shared" si="4"/>
        <v>0</v>
      </c>
      <c r="O37" s="694">
        <v>0</v>
      </c>
      <c r="P37" s="695">
        <v>0</v>
      </c>
      <c r="Q37" s="696">
        <v>0</v>
      </c>
      <c r="R37" s="131" t="s">
        <v>1316</v>
      </c>
      <c r="S37" s="131"/>
      <c r="T37" s="131"/>
      <c r="U37" s="131"/>
    </row>
    <row r="38" spans="1:21" s="130" customFormat="1">
      <c r="A38" s="608"/>
      <c r="B38" s="638" t="s">
        <v>139</v>
      </c>
      <c r="C38" s="639" t="s">
        <v>589</v>
      </c>
      <c r="D38" s="632">
        <f t="shared" si="1"/>
        <v>8.3193501960784317</v>
      </c>
      <c r="E38" s="633">
        <f t="shared" si="26"/>
        <v>8.3193501960784317</v>
      </c>
      <c r="F38" s="691">
        <v>8.3193501960784317</v>
      </c>
      <c r="G38" s="692">
        <v>0</v>
      </c>
      <c r="H38" s="693">
        <v>0</v>
      </c>
      <c r="I38" s="632">
        <f t="shared" si="24"/>
        <v>0</v>
      </c>
      <c r="J38" s="691">
        <v>0</v>
      </c>
      <c r="K38" s="692">
        <v>0</v>
      </c>
      <c r="L38" s="693">
        <v>0</v>
      </c>
      <c r="M38" s="694">
        <v>0</v>
      </c>
      <c r="N38" s="644">
        <f t="shared" si="4"/>
        <v>0</v>
      </c>
      <c r="O38" s="694">
        <v>0</v>
      </c>
      <c r="P38" s="695">
        <v>0</v>
      </c>
      <c r="Q38" s="696">
        <v>0</v>
      </c>
      <c r="R38" s="507" t="s">
        <v>1353</v>
      </c>
      <c r="S38" s="507" t="s">
        <v>1354</v>
      </c>
      <c r="T38" s="507" t="s">
        <v>1355</v>
      </c>
      <c r="U38" s="507" t="s">
        <v>1356</v>
      </c>
    </row>
    <row r="39" spans="1:21" s="130" customFormat="1">
      <c r="A39" s="608"/>
      <c r="B39" s="638" t="s">
        <v>601</v>
      </c>
      <c r="C39" s="639" t="s">
        <v>21</v>
      </c>
      <c r="D39" s="632">
        <f t="shared" si="1"/>
        <v>2437.7245355093401</v>
      </c>
      <c r="E39" s="633">
        <f t="shared" si="26"/>
        <v>1098.63859795548</v>
      </c>
      <c r="F39" s="691">
        <v>0</v>
      </c>
      <c r="G39" s="692">
        <v>0</v>
      </c>
      <c r="H39" s="693">
        <v>1098.63859795548</v>
      </c>
      <c r="I39" s="632">
        <f t="shared" si="24"/>
        <v>1339.08593755386</v>
      </c>
      <c r="J39" s="691">
        <v>1339.08593755386</v>
      </c>
      <c r="K39" s="692">
        <v>0</v>
      </c>
      <c r="L39" s="693">
        <v>0</v>
      </c>
      <c r="M39" s="694">
        <v>0</v>
      </c>
      <c r="N39" s="644">
        <f t="shared" si="4"/>
        <v>0</v>
      </c>
      <c r="O39" s="694">
        <v>0</v>
      </c>
      <c r="P39" s="695">
        <v>0</v>
      </c>
      <c r="Q39" s="696">
        <v>0</v>
      </c>
      <c r="R39" s="507" t="s">
        <v>1320</v>
      </c>
      <c r="S39" s="131"/>
      <c r="T39" s="131"/>
      <c r="U39" s="131"/>
    </row>
    <row r="40" spans="1:21" s="130" customFormat="1" ht="39.6">
      <c r="A40" s="608"/>
      <c r="B40" s="638" t="s">
        <v>602</v>
      </c>
      <c r="C40" s="639" t="s">
        <v>591</v>
      </c>
      <c r="D40" s="632">
        <f t="shared" si="1"/>
        <v>2455.0264868754925</v>
      </c>
      <c r="E40" s="633">
        <f t="shared" si="26"/>
        <v>425.07417709546195</v>
      </c>
      <c r="F40" s="691">
        <v>92.414843745359676</v>
      </c>
      <c r="G40" s="692">
        <v>288.2531626666667</v>
      </c>
      <c r="H40" s="693">
        <v>44.406170683435583</v>
      </c>
      <c r="I40" s="632">
        <f t="shared" si="24"/>
        <v>2029.9523097800306</v>
      </c>
      <c r="J40" s="691">
        <v>459.87065480058902</v>
      </c>
      <c r="K40" s="692">
        <v>1556.73508005087</v>
      </c>
      <c r="L40" s="693">
        <v>13.346574928571428</v>
      </c>
      <c r="M40" s="694">
        <v>0</v>
      </c>
      <c r="N40" s="644">
        <f t="shared" si="4"/>
        <v>0</v>
      </c>
      <c r="O40" s="694">
        <v>0</v>
      </c>
      <c r="P40" s="695">
        <v>0</v>
      </c>
      <c r="Q40" s="696">
        <v>0</v>
      </c>
      <c r="R40" s="507" t="s">
        <v>1322</v>
      </c>
      <c r="S40" s="131"/>
      <c r="T40" s="131"/>
      <c r="U40" s="131"/>
    </row>
    <row r="41" spans="1:21" s="130" customFormat="1">
      <c r="A41" s="608"/>
      <c r="B41" s="630" t="s">
        <v>296</v>
      </c>
      <c r="C41" s="647" t="s">
        <v>25</v>
      </c>
      <c r="D41" s="632">
        <f t="shared" si="1"/>
        <v>48.973253692380432</v>
      </c>
      <c r="E41" s="633">
        <f t="shared" si="26"/>
        <v>0.74633114035087744</v>
      </c>
      <c r="F41" s="634">
        <f>SUM(F42:F43)</f>
        <v>0.578141666666667</v>
      </c>
      <c r="G41" s="635">
        <f>SUM(G42:G43)</f>
        <v>0</v>
      </c>
      <c r="H41" s="636">
        <f>SUM(H42:H43)</f>
        <v>0.1681894736842105</v>
      </c>
      <c r="I41" s="632">
        <f t="shared" si="24"/>
        <v>48.226922552029556</v>
      </c>
      <c r="J41" s="634">
        <f t="shared" ref="J41:Q41" si="28">SUM(J42:J43)</f>
        <v>33.199633319819824</v>
      </c>
      <c r="K41" s="635">
        <f t="shared" si="28"/>
        <v>15.027289232209734</v>
      </c>
      <c r="L41" s="636">
        <f t="shared" si="28"/>
        <v>0</v>
      </c>
      <c r="M41" s="637">
        <f t="shared" si="28"/>
        <v>0</v>
      </c>
      <c r="N41" s="632">
        <f t="shared" si="4"/>
        <v>0</v>
      </c>
      <c r="O41" s="637">
        <f>SUM(O42:O43)</f>
        <v>0</v>
      </c>
      <c r="P41" s="636">
        <f t="shared" si="28"/>
        <v>0</v>
      </c>
      <c r="Q41" s="633">
        <f t="shared" si="28"/>
        <v>0</v>
      </c>
      <c r="R41" s="131"/>
      <c r="S41" s="131"/>
      <c r="T41" s="131"/>
      <c r="U41" s="131"/>
    </row>
    <row r="42" spans="1:21" s="130" customFormat="1" ht="53.4">
      <c r="A42" s="608"/>
      <c r="B42" s="638" t="s">
        <v>298</v>
      </c>
      <c r="C42" s="648" t="s">
        <v>592</v>
      </c>
      <c r="D42" s="632">
        <f t="shared" si="1"/>
        <v>37.694539539227279</v>
      </c>
      <c r="E42" s="633">
        <f t="shared" si="26"/>
        <v>0.74633114035087744</v>
      </c>
      <c r="F42" s="691">
        <v>0.578141666666667</v>
      </c>
      <c r="G42" s="692">
        <v>0</v>
      </c>
      <c r="H42" s="693">
        <v>0.1681894736842105</v>
      </c>
      <c r="I42" s="632">
        <f t="shared" si="24"/>
        <v>36.948208398876403</v>
      </c>
      <c r="J42" s="691">
        <v>25.768852500000001</v>
      </c>
      <c r="K42" s="692">
        <v>11.1793558988764</v>
      </c>
      <c r="L42" s="693">
        <v>0</v>
      </c>
      <c r="M42" s="694">
        <v>0</v>
      </c>
      <c r="N42" s="644">
        <f t="shared" si="4"/>
        <v>0</v>
      </c>
      <c r="O42" s="694">
        <v>0</v>
      </c>
      <c r="P42" s="695">
        <v>0</v>
      </c>
      <c r="Q42" s="696">
        <v>0</v>
      </c>
      <c r="R42" s="507" t="s">
        <v>1324</v>
      </c>
      <c r="S42" s="131"/>
      <c r="T42" s="131"/>
      <c r="U42" s="131"/>
    </row>
    <row r="43" spans="1:21" s="130" customFormat="1">
      <c r="A43" s="608"/>
      <c r="B43" s="638" t="s">
        <v>299</v>
      </c>
      <c r="C43" s="648" t="s">
        <v>29</v>
      </c>
      <c r="D43" s="632">
        <f t="shared" si="1"/>
        <v>11.278714153153153</v>
      </c>
      <c r="E43" s="633">
        <f t="shared" si="26"/>
        <v>0</v>
      </c>
      <c r="F43" s="691">
        <v>0</v>
      </c>
      <c r="G43" s="692">
        <v>0</v>
      </c>
      <c r="H43" s="693">
        <v>0</v>
      </c>
      <c r="I43" s="632">
        <f t="shared" si="24"/>
        <v>11.278714153153153</v>
      </c>
      <c r="J43" s="691">
        <v>7.4307808198198204</v>
      </c>
      <c r="K43" s="692">
        <v>3.8479333333333336</v>
      </c>
      <c r="L43" s="693">
        <v>0</v>
      </c>
      <c r="M43" s="694">
        <v>0</v>
      </c>
      <c r="N43" s="644">
        <f t="shared" si="4"/>
        <v>0</v>
      </c>
      <c r="O43" s="694">
        <v>0</v>
      </c>
      <c r="P43" s="695">
        <v>0</v>
      </c>
      <c r="Q43" s="696">
        <v>0</v>
      </c>
      <c r="R43" s="507" t="s">
        <v>1326</v>
      </c>
      <c r="S43" s="131"/>
      <c r="T43" s="131"/>
      <c r="U43" s="131"/>
    </row>
    <row r="44" spans="1:21" s="130" customFormat="1">
      <c r="A44" s="608"/>
      <c r="B44" s="630" t="s">
        <v>301</v>
      </c>
      <c r="C44" s="647" t="s">
        <v>31</v>
      </c>
      <c r="D44" s="632">
        <f t="shared" si="1"/>
        <v>7.9470694444444403</v>
      </c>
      <c r="E44" s="633">
        <f t="shared" si="26"/>
        <v>0</v>
      </c>
      <c r="F44" s="634">
        <f>SUM(F45:F46)</f>
        <v>0</v>
      </c>
      <c r="G44" s="635">
        <f>SUM(G45:G46)</f>
        <v>0</v>
      </c>
      <c r="H44" s="636">
        <f>SUM(H45:H46)</f>
        <v>0</v>
      </c>
      <c r="I44" s="632">
        <f t="shared" si="24"/>
        <v>0</v>
      </c>
      <c r="J44" s="634">
        <f t="shared" ref="J44:Q44" si="29">SUM(J45:J46)</f>
        <v>0</v>
      </c>
      <c r="K44" s="635">
        <f t="shared" si="29"/>
        <v>0</v>
      </c>
      <c r="L44" s="636">
        <f t="shared" si="29"/>
        <v>0</v>
      </c>
      <c r="M44" s="637">
        <f t="shared" si="29"/>
        <v>0</v>
      </c>
      <c r="N44" s="632">
        <f t="shared" si="4"/>
        <v>7.9470694444444403</v>
      </c>
      <c r="O44" s="637">
        <f>SUM(O45:O46)</f>
        <v>7.9470694444444403</v>
      </c>
      <c r="P44" s="636">
        <f t="shared" si="29"/>
        <v>0</v>
      </c>
      <c r="Q44" s="633">
        <f t="shared" si="29"/>
        <v>0</v>
      </c>
      <c r="R44" s="131"/>
      <c r="S44" s="131"/>
      <c r="T44" s="131"/>
      <c r="U44" s="131"/>
    </row>
    <row r="45" spans="1:21" s="130" customFormat="1">
      <c r="A45" s="608"/>
      <c r="B45" s="638" t="s">
        <v>302</v>
      </c>
      <c r="C45" s="648" t="s">
        <v>594</v>
      </c>
      <c r="D45" s="632">
        <f t="shared" si="1"/>
        <v>7.9470694444444403</v>
      </c>
      <c r="E45" s="633">
        <f t="shared" si="26"/>
        <v>0</v>
      </c>
      <c r="F45" s="691">
        <v>0</v>
      </c>
      <c r="G45" s="692">
        <v>0</v>
      </c>
      <c r="H45" s="693">
        <v>0</v>
      </c>
      <c r="I45" s="632">
        <f t="shared" si="24"/>
        <v>0</v>
      </c>
      <c r="J45" s="691">
        <v>0</v>
      </c>
      <c r="K45" s="692">
        <v>0</v>
      </c>
      <c r="L45" s="693">
        <v>0</v>
      </c>
      <c r="M45" s="694">
        <v>0</v>
      </c>
      <c r="N45" s="644">
        <f t="shared" si="4"/>
        <v>7.9470694444444403</v>
      </c>
      <c r="O45" s="694">
        <v>7.9470694444444403</v>
      </c>
      <c r="P45" s="695">
        <v>0</v>
      </c>
      <c r="Q45" s="696">
        <v>0</v>
      </c>
      <c r="R45" s="507" t="s">
        <v>1328</v>
      </c>
      <c r="S45" s="131"/>
      <c r="T45" s="131"/>
      <c r="U45" s="131"/>
    </row>
    <row r="46" spans="1:21" s="130" customFormat="1" ht="27">
      <c r="A46" s="608"/>
      <c r="B46" s="649" t="s">
        <v>302</v>
      </c>
      <c r="C46" s="701" t="s">
        <v>596</v>
      </c>
      <c r="D46" s="632">
        <f t="shared" si="1"/>
        <v>0</v>
      </c>
      <c r="E46" s="633">
        <f t="shared" si="26"/>
        <v>0</v>
      </c>
      <c r="F46" s="691">
        <v>0</v>
      </c>
      <c r="G46" s="692">
        <v>0</v>
      </c>
      <c r="H46" s="693">
        <v>0</v>
      </c>
      <c r="I46" s="632">
        <f t="shared" si="24"/>
        <v>0</v>
      </c>
      <c r="J46" s="691">
        <v>0</v>
      </c>
      <c r="K46" s="692">
        <v>0</v>
      </c>
      <c r="L46" s="693">
        <v>0</v>
      </c>
      <c r="M46" s="694">
        <v>0</v>
      </c>
      <c r="N46" s="644">
        <f t="shared" si="4"/>
        <v>0</v>
      </c>
      <c r="O46" s="694">
        <v>0</v>
      </c>
      <c r="P46" s="695">
        <v>0</v>
      </c>
      <c r="Q46" s="696">
        <v>0</v>
      </c>
      <c r="R46" s="507" t="s">
        <v>1330</v>
      </c>
      <c r="S46" s="131"/>
      <c r="T46" s="131"/>
      <c r="U46" s="131"/>
    </row>
    <row r="47" spans="1:21" s="130" customFormat="1">
      <c r="A47" s="608"/>
      <c r="B47" s="630" t="s">
        <v>306</v>
      </c>
      <c r="C47" s="658" t="s">
        <v>37</v>
      </c>
      <c r="D47" s="659">
        <f t="shared" si="1"/>
        <v>20.795231588399876</v>
      </c>
      <c r="E47" s="660">
        <f t="shared" si="26"/>
        <v>1.0337373355263157</v>
      </c>
      <c r="F47" s="661">
        <f>SUM(F48:F49)</f>
        <v>1.0337373355263157</v>
      </c>
      <c r="G47" s="662">
        <f>SUM(G48:G49)</f>
        <v>0</v>
      </c>
      <c r="H47" s="663">
        <f>SUM(H48:H49)</f>
        <v>0</v>
      </c>
      <c r="I47" s="664">
        <f t="shared" si="24"/>
        <v>19.761494252873561</v>
      </c>
      <c r="J47" s="661">
        <f t="shared" ref="J47:Q47" si="30">SUM(J48:J49)</f>
        <v>19.761494252873561</v>
      </c>
      <c r="K47" s="662">
        <f t="shared" si="30"/>
        <v>0</v>
      </c>
      <c r="L47" s="663">
        <f t="shared" si="30"/>
        <v>0</v>
      </c>
      <c r="M47" s="665">
        <f t="shared" si="30"/>
        <v>0</v>
      </c>
      <c r="N47" s="664">
        <f t="shared" si="4"/>
        <v>0</v>
      </c>
      <c r="O47" s="665">
        <f>SUM(O48:O49)</f>
        <v>0</v>
      </c>
      <c r="P47" s="663">
        <f t="shared" si="30"/>
        <v>0</v>
      </c>
      <c r="Q47" s="660">
        <f t="shared" si="30"/>
        <v>0</v>
      </c>
      <c r="R47" s="131"/>
      <c r="S47" s="131"/>
      <c r="T47" s="131"/>
      <c r="U47" s="131"/>
    </row>
    <row r="48" spans="1:21" s="130" customFormat="1">
      <c r="A48" s="608"/>
      <c r="B48" s="666" t="s">
        <v>308</v>
      </c>
      <c r="C48" s="667" t="s">
        <v>39</v>
      </c>
      <c r="D48" s="668">
        <f t="shared" si="1"/>
        <v>0</v>
      </c>
      <c r="E48" s="633">
        <f t="shared" si="26"/>
        <v>0</v>
      </c>
      <c r="F48" s="691">
        <v>0</v>
      </c>
      <c r="G48" s="692">
        <v>0</v>
      </c>
      <c r="H48" s="693">
        <v>0</v>
      </c>
      <c r="I48" s="664">
        <f t="shared" si="24"/>
        <v>0</v>
      </c>
      <c r="J48" s="691">
        <v>0</v>
      </c>
      <c r="K48" s="692">
        <v>0</v>
      </c>
      <c r="L48" s="693">
        <v>0</v>
      </c>
      <c r="M48" s="694">
        <v>0</v>
      </c>
      <c r="N48" s="644">
        <f t="shared" si="4"/>
        <v>0</v>
      </c>
      <c r="O48" s="694">
        <v>0</v>
      </c>
      <c r="P48" s="695">
        <v>0</v>
      </c>
      <c r="Q48" s="696">
        <v>0</v>
      </c>
      <c r="R48" s="131" t="s">
        <v>1332</v>
      </c>
      <c r="S48" s="131"/>
      <c r="T48" s="131"/>
      <c r="U48" s="131"/>
    </row>
    <row r="49" spans="1:21" s="130" customFormat="1" ht="27">
      <c r="A49" s="608"/>
      <c r="B49" s="666" t="s">
        <v>310</v>
      </c>
      <c r="C49" s="675" t="s">
        <v>41</v>
      </c>
      <c r="D49" s="659">
        <f t="shared" si="1"/>
        <v>20.795231588399876</v>
      </c>
      <c r="E49" s="633">
        <f t="shared" si="26"/>
        <v>1.0337373355263157</v>
      </c>
      <c r="F49" s="691">
        <v>1.0337373355263157</v>
      </c>
      <c r="G49" s="692">
        <v>0</v>
      </c>
      <c r="H49" s="693">
        <v>0</v>
      </c>
      <c r="I49" s="664">
        <f t="shared" si="24"/>
        <v>19.761494252873561</v>
      </c>
      <c r="J49" s="691">
        <v>19.761494252873561</v>
      </c>
      <c r="K49" s="692">
        <v>0</v>
      </c>
      <c r="L49" s="693">
        <v>0</v>
      </c>
      <c r="M49" s="694">
        <v>0</v>
      </c>
      <c r="N49" s="644">
        <f t="shared" si="4"/>
        <v>0</v>
      </c>
      <c r="O49" s="694">
        <v>0</v>
      </c>
      <c r="P49" s="695">
        <v>0</v>
      </c>
      <c r="Q49" s="696">
        <v>0</v>
      </c>
      <c r="R49" s="131" t="s">
        <v>1334</v>
      </c>
      <c r="S49" s="131"/>
      <c r="T49" s="131"/>
      <c r="U49" s="131"/>
    </row>
    <row r="50" spans="1:21" s="130" customFormat="1">
      <c r="A50" s="608"/>
      <c r="B50" s="677" t="s">
        <v>312</v>
      </c>
      <c r="C50" s="678" t="s">
        <v>597</v>
      </c>
      <c r="D50" s="659">
        <f t="shared" si="1"/>
        <v>0</v>
      </c>
      <c r="E50" s="660">
        <f t="shared" si="26"/>
        <v>0</v>
      </c>
      <c r="F50" s="661">
        <f>SUM(F51:F53)</f>
        <v>0</v>
      </c>
      <c r="G50" s="662">
        <f>SUM(G51:G53)</f>
        <v>0</v>
      </c>
      <c r="H50" s="663">
        <f>SUM(H51:H53)</f>
        <v>0</v>
      </c>
      <c r="I50" s="664">
        <f t="shared" si="24"/>
        <v>0</v>
      </c>
      <c r="J50" s="661">
        <f t="shared" ref="J50:Q50" si="31">SUM(J51:J53)</f>
        <v>0</v>
      </c>
      <c r="K50" s="662">
        <f t="shared" si="31"/>
        <v>0</v>
      </c>
      <c r="L50" s="663">
        <f t="shared" si="31"/>
        <v>0</v>
      </c>
      <c r="M50" s="665">
        <f t="shared" si="31"/>
        <v>0</v>
      </c>
      <c r="N50" s="664">
        <f t="shared" si="4"/>
        <v>0</v>
      </c>
      <c r="O50" s="665">
        <f>SUM(O51:O53)</f>
        <v>0</v>
      </c>
      <c r="P50" s="663">
        <f t="shared" si="31"/>
        <v>0</v>
      </c>
      <c r="Q50" s="660">
        <f t="shared" si="31"/>
        <v>0</v>
      </c>
      <c r="R50" s="131"/>
      <c r="S50" s="131"/>
      <c r="T50" s="131"/>
      <c r="U50" s="131"/>
    </row>
    <row r="51" spans="1:21" s="130" customFormat="1">
      <c r="A51" s="608"/>
      <c r="B51" s="679" t="s">
        <v>314</v>
      </c>
      <c r="C51" s="675" t="s">
        <v>1352</v>
      </c>
      <c r="D51" s="659">
        <f t="shared" si="1"/>
        <v>0</v>
      </c>
      <c r="E51" s="633">
        <f t="shared" si="26"/>
        <v>0</v>
      </c>
      <c r="F51" s="691">
        <v>0</v>
      </c>
      <c r="G51" s="692">
        <v>0</v>
      </c>
      <c r="H51" s="693">
        <v>0</v>
      </c>
      <c r="I51" s="664">
        <f>SUM(J51:L51)</f>
        <v>0</v>
      </c>
      <c r="J51" s="691">
        <v>0</v>
      </c>
      <c r="K51" s="692">
        <v>0</v>
      </c>
      <c r="L51" s="693">
        <v>0</v>
      </c>
      <c r="M51" s="694">
        <v>0</v>
      </c>
      <c r="N51" s="644">
        <f t="shared" si="4"/>
        <v>0</v>
      </c>
      <c r="O51" s="694">
        <v>0</v>
      </c>
      <c r="P51" s="695">
        <v>0</v>
      </c>
      <c r="Q51" s="696">
        <v>0</v>
      </c>
      <c r="R51" s="131" t="s">
        <v>1336</v>
      </c>
      <c r="S51" s="131"/>
      <c r="T51" s="131"/>
      <c r="U51" s="131"/>
    </row>
    <row r="52" spans="1:21" s="130" customFormat="1">
      <c r="A52" s="608"/>
      <c r="B52" s="679" t="s">
        <v>603</v>
      </c>
      <c r="C52" s="675" t="s">
        <v>1352</v>
      </c>
      <c r="D52" s="659">
        <f t="shared" si="1"/>
        <v>0</v>
      </c>
      <c r="E52" s="633">
        <f t="shared" si="26"/>
        <v>0</v>
      </c>
      <c r="F52" s="691">
        <v>0</v>
      </c>
      <c r="G52" s="692">
        <v>0</v>
      </c>
      <c r="H52" s="693">
        <v>0</v>
      </c>
      <c r="I52" s="664">
        <f>SUM(J52:L52)</f>
        <v>0</v>
      </c>
      <c r="J52" s="691">
        <v>0</v>
      </c>
      <c r="K52" s="692">
        <v>0</v>
      </c>
      <c r="L52" s="693">
        <v>0</v>
      </c>
      <c r="M52" s="694">
        <v>0</v>
      </c>
      <c r="N52" s="644">
        <f t="shared" si="4"/>
        <v>0</v>
      </c>
      <c r="O52" s="694">
        <v>0</v>
      </c>
      <c r="P52" s="695">
        <v>0</v>
      </c>
      <c r="Q52" s="696">
        <v>0</v>
      </c>
      <c r="R52" s="131" t="s">
        <v>1338</v>
      </c>
      <c r="S52" s="131"/>
      <c r="T52" s="131"/>
      <c r="U52" s="131"/>
    </row>
    <row r="53" spans="1:21" s="130" customFormat="1" ht="15" thickBot="1">
      <c r="A53" s="608"/>
      <c r="B53" s="680" t="s">
        <v>604</v>
      </c>
      <c r="C53" s="681" t="s">
        <v>1352</v>
      </c>
      <c r="D53" s="682">
        <f t="shared" si="1"/>
        <v>0</v>
      </c>
      <c r="E53" s="858">
        <f t="shared" si="26"/>
        <v>0</v>
      </c>
      <c r="F53" s="859">
        <v>0</v>
      </c>
      <c r="G53" s="860">
        <v>0</v>
      </c>
      <c r="H53" s="861">
        <v>0</v>
      </c>
      <c r="I53" s="664">
        <f>SUM(J53:L53)</f>
        <v>0</v>
      </c>
      <c r="J53" s="859">
        <v>0</v>
      </c>
      <c r="K53" s="860">
        <v>0</v>
      </c>
      <c r="L53" s="861">
        <v>0</v>
      </c>
      <c r="M53" s="862">
        <v>0</v>
      </c>
      <c r="N53" s="725">
        <f t="shared" si="4"/>
        <v>0</v>
      </c>
      <c r="O53" s="862">
        <v>0</v>
      </c>
      <c r="P53" s="715">
        <v>0</v>
      </c>
      <c r="Q53" s="716">
        <v>0</v>
      </c>
      <c r="R53" s="131" t="s">
        <v>1340</v>
      </c>
      <c r="S53" s="131"/>
      <c r="T53" s="131"/>
      <c r="U53" s="131"/>
    </row>
    <row r="54" spans="1:21" s="130" customFormat="1" ht="15.6" thickTop="1" thickBot="1">
      <c r="A54" s="608" t="s">
        <v>605</v>
      </c>
      <c r="B54" s="850" t="s">
        <v>56</v>
      </c>
      <c r="C54" s="851" t="s">
        <v>606</v>
      </c>
      <c r="D54" s="852">
        <f t="shared" ref="D54:Q54" si="32">D55+D59+D64+D67+D70+D73</f>
        <v>86.269902092493538</v>
      </c>
      <c r="E54" s="853">
        <f t="shared" si="32"/>
        <v>22.053431743557454</v>
      </c>
      <c r="F54" s="854">
        <f t="shared" si="32"/>
        <v>0.86834077486345351</v>
      </c>
      <c r="G54" s="855">
        <f t="shared" si="32"/>
        <v>3.9381364414981617</v>
      </c>
      <c r="H54" s="856">
        <f t="shared" si="32"/>
        <v>17.24695452719584</v>
      </c>
      <c r="I54" s="852">
        <f t="shared" si="32"/>
        <v>64.209125237271166</v>
      </c>
      <c r="J54" s="854">
        <f t="shared" si="32"/>
        <v>41.590432844024321</v>
      </c>
      <c r="K54" s="855">
        <f t="shared" si="32"/>
        <v>14.125412176314363</v>
      </c>
      <c r="L54" s="856">
        <f t="shared" si="32"/>
        <v>8.4932802169324795</v>
      </c>
      <c r="M54" s="857">
        <f t="shared" si="32"/>
        <v>0</v>
      </c>
      <c r="N54" s="852">
        <f t="shared" si="4"/>
        <v>7.3451116649273646E-3</v>
      </c>
      <c r="O54" s="857">
        <f>O55+O59+O64+O67+O70+O73</f>
        <v>7.3451116649273646E-3</v>
      </c>
      <c r="P54" s="856">
        <f t="shared" si="32"/>
        <v>0</v>
      </c>
      <c r="Q54" s="853">
        <f t="shared" si="32"/>
        <v>0</v>
      </c>
      <c r="R54" s="131"/>
      <c r="S54" s="131"/>
      <c r="T54" s="131"/>
      <c r="U54" s="131"/>
    </row>
    <row r="55" spans="1:21" s="130" customFormat="1" ht="15" thickTop="1">
      <c r="A55" s="608"/>
      <c r="B55" s="630" t="s">
        <v>144</v>
      </c>
      <c r="C55" s="631" t="s">
        <v>6</v>
      </c>
      <c r="D55" s="632">
        <f>SUM(D56:D58)</f>
        <v>0</v>
      </c>
      <c r="E55" s="633">
        <f>SUM(F55:H55)</f>
        <v>0</v>
      </c>
      <c r="F55" s="634">
        <f>SUM(F56:F58)</f>
        <v>0</v>
      </c>
      <c r="G55" s="635">
        <f>SUM(G56:G58)</f>
        <v>0</v>
      </c>
      <c r="H55" s="636">
        <f>SUM(H56:H58)</f>
        <v>0</v>
      </c>
      <c r="I55" s="632">
        <f t="shared" ref="I55:I76" si="33">SUM(J55:L55)</f>
        <v>0</v>
      </c>
      <c r="J55" s="634">
        <f t="shared" ref="J55:Q55" si="34">SUM(J56:J58)</f>
        <v>0</v>
      </c>
      <c r="K55" s="635">
        <f t="shared" si="34"/>
        <v>0</v>
      </c>
      <c r="L55" s="636">
        <f t="shared" si="34"/>
        <v>0</v>
      </c>
      <c r="M55" s="637">
        <f t="shared" si="34"/>
        <v>0</v>
      </c>
      <c r="N55" s="632">
        <f t="shared" si="4"/>
        <v>0</v>
      </c>
      <c r="O55" s="637">
        <f>SUM(O56:O58)</f>
        <v>0</v>
      </c>
      <c r="P55" s="636">
        <f t="shared" si="34"/>
        <v>0</v>
      </c>
      <c r="Q55" s="633">
        <f t="shared" si="34"/>
        <v>0</v>
      </c>
      <c r="R55" s="131"/>
      <c r="S55" s="131"/>
      <c r="T55" s="131"/>
      <c r="U55" s="131"/>
    </row>
    <row r="56" spans="1:21" s="130" customFormat="1">
      <c r="A56" s="608"/>
      <c r="B56" s="638" t="s">
        <v>404</v>
      </c>
      <c r="C56" s="639" t="s">
        <v>8</v>
      </c>
      <c r="D56" s="717">
        <v>0</v>
      </c>
      <c r="E56" s="645">
        <f>SUM(F56:H56)</f>
        <v>0</v>
      </c>
      <c r="F56" s="640">
        <f t="shared" ref="F56:H58" si="35">IFERROR($D56*F78/100, 0)</f>
        <v>0</v>
      </c>
      <c r="G56" s="641">
        <f t="shared" si="35"/>
        <v>0</v>
      </c>
      <c r="H56" s="642">
        <f t="shared" si="35"/>
        <v>0</v>
      </c>
      <c r="I56" s="644">
        <f t="shared" si="33"/>
        <v>0</v>
      </c>
      <c r="J56" s="640">
        <f t="shared" ref="J56:Q58" si="36">IFERROR($D56*J78/100, 0)</f>
        <v>0</v>
      </c>
      <c r="K56" s="641">
        <f t="shared" si="36"/>
        <v>0</v>
      </c>
      <c r="L56" s="642">
        <f t="shared" si="36"/>
        <v>0</v>
      </c>
      <c r="M56" s="643">
        <f t="shared" si="36"/>
        <v>0</v>
      </c>
      <c r="N56" s="644">
        <f t="shared" si="4"/>
        <v>0</v>
      </c>
      <c r="O56" s="643">
        <f>IFERROR($D56*O78/100, 0)</f>
        <v>0</v>
      </c>
      <c r="P56" s="642">
        <f t="shared" si="36"/>
        <v>0</v>
      </c>
      <c r="Q56" s="645">
        <f t="shared" si="36"/>
        <v>0</v>
      </c>
      <c r="R56" s="131" t="s">
        <v>1310</v>
      </c>
      <c r="S56" s="131"/>
      <c r="T56" s="131"/>
      <c r="U56" s="131"/>
    </row>
    <row r="57" spans="1:21" s="130" customFormat="1">
      <c r="A57" s="608"/>
      <c r="B57" s="638" t="s">
        <v>405</v>
      </c>
      <c r="C57" s="639" t="s">
        <v>9</v>
      </c>
      <c r="D57" s="717">
        <v>0</v>
      </c>
      <c r="E57" s="645">
        <f t="shared" ref="E57:E72" si="37">SUM(F57:H57)</f>
        <v>0</v>
      </c>
      <c r="F57" s="640">
        <f t="shared" si="35"/>
        <v>0</v>
      </c>
      <c r="G57" s="641">
        <f t="shared" si="35"/>
        <v>0</v>
      </c>
      <c r="H57" s="642">
        <f t="shared" si="35"/>
        <v>0</v>
      </c>
      <c r="I57" s="644">
        <f t="shared" si="33"/>
        <v>0</v>
      </c>
      <c r="J57" s="640">
        <f t="shared" si="36"/>
        <v>0</v>
      </c>
      <c r="K57" s="641">
        <f t="shared" si="36"/>
        <v>0</v>
      </c>
      <c r="L57" s="642">
        <f t="shared" si="36"/>
        <v>0</v>
      </c>
      <c r="M57" s="643">
        <f t="shared" si="36"/>
        <v>0</v>
      </c>
      <c r="N57" s="644">
        <f t="shared" si="4"/>
        <v>0</v>
      </c>
      <c r="O57" s="643">
        <f>IFERROR($D57*O79/100, 0)</f>
        <v>0</v>
      </c>
      <c r="P57" s="642">
        <f t="shared" si="36"/>
        <v>0</v>
      </c>
      <c r="Q57" s="645">
        <f t="shared" si="36"/>
        <v>0</v>
      </c>
      <c r="R57" s="131" t="s">
        <v>1312</v>
      </c>
      <c r="S57" s="131"/>
      <c r="T57" s="131"/>
      <c r="U57" s="131"/>
    </row>
    <row r="58" spans="1:21" s="130" customFormat="1">
      <c r="A58" s="608"/>
      <c r="B58" s="638" t="s">
        <v>607</v>
      </c>
      <c r="C58" s="639" t="s">
        <v>11</v>
      </c>
      <c r="D58" s="717">
        <v>0</v>
      </c>
      <c r="E58" s="645">
        <f t="shared" si="37"/>
        <v>0</v>
      </c>
      <c r="F58" s="640">
        <f t="shared" si="35"/>
        <v>0</v>
      </c>
      <c r="G58" s="641">
        <f t="shared" si="35"/>
        <v>0</v>
      </c>
      <c r="H58" s="642">
        <f t="shared" si="35"/>
        <v>0</v>
      </c>
      <c r="I58" s="644">
        <f t="shared" si="33"/>
        <v>0</v>
      </c>
      <c r="J58" s="640">
        <f t="shared" si="36"/>
        <v>0</v>
      </c>
      <c r="K58" s="641">
        <f t="shared" si="36"/>
        <v>0</v>
      </c>
      <c r="L58" s="642">
        <f t="shared" si="36"/>
        <v>0</v>
      </c>
      <c r="M58" s="643">
        <f t="shared" si="36"/>
        <v>0</v>
      </c>
      <c r="N58" s="644">
        <f t="shared" si="4"/>
        <v>0</v>
      </c>
      <c r="O58" s="643">
        <f>IFERROR($D58*O80/100, 0)</f>
        <v>0</v>
      </c>
      <c r="P58" s="642">
        <f t="shared" si="36"/>
        <v>0</v>
      </c>
      <c r="Q58" s="645">
        <f t="shared" si="36"/>
        <v>0</v>
      </c>
      <c r="R58" s="131" t="s">
        <v>1314</v>
      </c>
      <c r="S58" s="131"/>
      <c r="T58" s="131"/>
      <c r="U58" s="131"/>
    </row>
    <row r="59" spans="1:21" s="130" customFormat="1">
      <c r="A59" s="608"/>
      <c r="B59" s="630" t="s">
        <v>146</v>
      </c>
      <c r="C59" s="646" t="s">
        <v>13</v>
      </c>
      <c r="D59" s="632">
        <f>SUM(D60:D63)</f>
        <v>15.453665014901636</v>
      </c>
      <c r="E59" s="633">
        <f t="shared" si="37"/>
        <v>3.9504663657615198</v>
      </c>
      <c r="F59" s="634">
        <f>SUM(F60:F63)</f>
        <v>0.15554726652097986</v>
      </c>
      <c r="G59" s="635">
        <f>SUM(G60:G63)</f>
        <v>0.70544465536358558</v>
      </c>
      <c r="H59" s="636">
        <f>SUM(H60:H63)</f>
        <v>3.0894744438769544</v>
      </c>
      <c r="I59" s="632">
        <f t="shared" si="33"/>
        <v>11.50188290758468</v>
      </c>
      <c r="J59" s="634">
        <f t="shared" ref="J59:Q59" si="38">SUM(J60:J63)</f>
        <v>7.4501605010194965</v>
      </c>
      <c r="K59" s="635">
        <f t="shared" si="38"/>
        <v>2.5303075890376898</v>
      </c>
      <c r="L59" s="636">
        <f t="shared" si="38"/>
        <v>1.521414817527492</v>
      </c>
      <c r="M59" s="637">
        <f t="shared" si="38"/>
        <v>0</v>
      </c>
      <c r="N59" s="632">
        <f t="shared" si="4"/>
        <v>1.3157415554399996E-3</v>
      </c>
      <c r="O59" s="637">
        <f>SUM(O60:O63)</f>
        <v>1.3157415554399996E-3</v>
      </c>
      <c r="P59" s="636">
        <f t="shared" si="38"/>
        <v>0</v>
      </c>
      <c r="Q59" s="633">
        <f t="shared" si="38"/>
        <v>0</v>
      </c>
      <c r="R59" s="131"/>
      <c r="S59" s="131"/>
      <c r="T59" s="131"/>
      <c r="U59" s="131"/>
    </row>
    <row r="60" spans="1:21" s="130" customFormat="1">
      <c r="A60" s="608"/>
      <c r="B60" s="638" t="s">
        <v>148</v>
      </c>
      <c r="C60" s="639" t="s">
        <v>15</v>
      </c>
      <c r="D60" s="717">
        <v>11.890412616666666</v>
      </c>
      <c r="E60" s="645">
        <f t="shared" si="37"/>
        <v>3.0395815537526758</v>
      </c>
      <c r="F60" s="640">
        <f t="shared" ref="F60:H63" si="39">IFERROR($D60*F81/100, 0)</f>
        <v>0.11968171812612853</v>
      </c>
      <c r="G60" s="641">
        <f t="shared" si="39"/>
        <v>0.54278567721034787</v>
      </c>
      <c r="H60" s="642">
        <f t="shared" si="39"/>
        <v>2.3771141584161994</v>
      </c>
      <c r="I60" s="644">
        <f t="shared" si="33"/>
        <v>8.8498187004759554</v>
      </c>
      <c r="J60" s="640">
        <f t="shared" ref="J60:Q63" si="40">IFERROR($D60*J81/100, 0)</f>
        <v>5.7323283720782614</v>
      </c>
      <c r="K60" s="641">
        <f t="shared" si="40"/>
        <v>1.9468780546057838</v>
      </c>
      <c r="L60" s="642">
        <f t="shared" si="40"/>
        <v>1.1706122737919105</v>
      </c>
      <c r="M60" s="643">
        <f t="shared" si="40"/>
        <v>0</v>
      </c>
      <c r="N60" s="644">
        <f t="shared" si="4"/>
        <v>1.012362438035931E-3</v>
      </c>
      <c r="O60" s="643">
        <f>IFERROR($D60*O81/100, 0)</f>
        <v>1.012362438035931E-3</v>
      </c>
      <c r="P60" s="642">
        <f t="shared" si="40"/>
        <v>0</v>
      </c>
      <c r="Q60" s="645">
        <f t="shared" si="40"/>
        <v>0</v>
      </c>
      <c r="R60" s="131" t="s">
        <v>1316</v>
      </c>
      <c r="S60" s="131"/>
      <c r="T60" s="131"/>
      <c r="U60" s="131"/>
    </row>
    <row r="61" spans="1:21" s="130" customFormat="1">
      <c r="A61" s="608"/>
      <c r="B61" s="638" t="s">
        <v>150</v>
      </c>
      <c r="C61" s="639" t="s">
        <v>589</v>
      </c>
      <c r="D61" s="717">
        <v>2.4657774594594599</v>
      </c>
      <c r="E61" s="645">
        <f t="shared" si="37"/>
        <v>0.63033402818389539</v>
      </c>
      <c r="F61" s="640">
        <f t="shared" si="39"/>
        <v>2.4819027932734477E-2</v>
      </c>
      <c r="G61" s="641">
        <f t="shared" si="39"/>
        <v>0.11256032328993434</v>
      </c>
      <c r="H61" s="642">
        <f t="shared" si="39"/>
        <v>0.49295467696122658</v>
      </c>
      <c r="I61" s="644">
        <f t="shared" si="33"/>
        <v>1.8352334923473723</v>
      </c>
      <c r="J61" s="640">
        <f t="shared" si="40"/>
        <v>1.18874311142728</v>
      </c>
      <c r="K61" s="641">
        <f t="shared" si="40"/>
        <v>0.4037343512061406</v>
      </c>
      <c r="L61" s="642">
        <f t="shared" si="40"/>
        <v>0.24275602971395163</v>
      </c>
      <c r="M61" s="643">
        <f t="shared" si="40"/>
        <v>0</v>
      </c>
      <c r="N61" s="644">
        <f t="shared" si="4"/>
        <v>2.099389281927392E-4</v>
      </c>
      <c r="O61" s="643">
        <f>IFERROR($D61*O82/100, 0)</f>
        <v>2.099389281927392E-4</v>
      </c>
      <c r="P61" s="642">
        <f t="shared" si="40"/>
        <v>0</v>
      </c>
      <c r="Q61" s="645">
        <f t="shared" si="40"/>
        <v>0</v>
      </c>
      <c r="R61" s="507" t="s">
        <v>1353</v>
      </c>
      <c r="S61" s="507" t="s">
        <v>1354</v>
      </c>
      <c r="T61" s="507" t="s">
        <v>1355</v>
      </c>
      <c r="U61" s="507" t="s">
        <v>1356</v>
      </c>
    </row>
    <row r="62" spans="1:21" s="130" customFormat="1">
      <c r="A62" s="608"/>
      <c r="B62" s="638" t="s">
        <v>152</v>
      </c>
      <c r="C62" s="639" t="s">
        <v>21</v>
      </c>
      <c r="D62" s="717">
        <v>0</v>
      </c>
      <c r="E62" s="645">
        <f t="shared" si="37"/>
        <v>0</v>
      </c>
      <c r="F62" s="640">
        <f t="shared" si="39"/>
        <v>0</v>
      </c>
      <c r="G62" s="641">
        <f t="shared" si="39"/>
        <v>0</v>
      </c>
      <c r="H62" s="642">
        <f t="shared" si="39"/>
        <v>0</v>
      </c>
      <c r="I62" s="644">
        <f t="shared" si="33"/>
        <v>0</v>
      </c>
      <c r="J62" s="640">
        <f t="shared" si="40"/>
        <v>0</v>
      </c>
      <c r="K62" s="641">
        <f t="shared" si="40"/>
        <v>0</v>
      </c>
      <c r="L62" s="642">
        <f t="shared" si="40"/>
        <v>0</v>
      </c>
      <c r="M62" s="643">
        <f t="shared" si="40"/>
        <v>0</v>
      </c>
      <c r="N62" s="644">
        <f t="shared" si="4"/>
        <v>0</v>
      </c>
      <c r="O62" s="643">
        <f>IFERROR($D62*O83/100, 0)</f>
        <v>0</v>
      </c>
      <c r="P62" s="642">
        <f t="shared" si="40"/>
        <v>0</v>
      </c>
      <c r="Q62" s="645">
        <f t="shared" si="40"/>
        <v>0</v>
      </c>
      <c r="R62" s="507" t="s">
        <v>1320</v>
      </c>
      <c r="S62" s="131"/>
      <c r="T62" s="131"/>
      <c r="U62" s="131"/>
    </row>
    <row r="63" spans="1:21" s="130" customFormat="1" ht="39.6">
      <c r="A63" s="608"/>
      <c r="B63" s="638" t="s">
        <v>608</v>
      </c>
      <c r="C63" s="639" t="s">
        <v>591</v>
      </c>
      <c r="D63" s="717">
        <v>1.0974749387755103</v>
      </c>
      <c r="E63" s="645">
        <f t="shared" si="37"/>
        <v>0.28055078382494836</v>
      </c>
      <c r="F63" s="640">
        <f t="shared" si="39"/>
        <v>1.1046520462116859E-2</v>
      </c>
      <c r="G63" s="641">
        <f t="shared" si="39"/>
        <v>5.0098654863303303E-2</v>
      </c>
      <c r="H63" s="642">
        <f t="shared" si="39"/>
        <v>0.2194056084995282</v>
      </c>
      <c r="I63" s="644">
        <f t="shared" si="33"/>
        <v>0.81683071476135083</v>
      </c>
      <c r="J63" s="640">
        <f t="shared" si="40"/>
        <v>0.52908901751395587</v>
      </c>
      <c r="K63" s="641">
        <f t="shared" si="40"/>
        <v>0.17969518322576522</v>
      </c>
      <c r="L63" s="642">
        <f t="shared" si="40"/>
        <v>0.10804651402162971</v>
      </c>
      <c r="M63" s="643">
        <f t="shared" si="40"/>
        <v>0</v>
      </c>
      <c r="N63" s="644">
        <f t="shared" si="4"/>
        <v>9.3440189211329262E-5</v>
      </c>
      <c r="O63" s="643">
        <f>IFERROR($D63*O84/100, 0)</f>
        <v>9.3440189211329262E-5</v>
      </c>
      <c r="P63" s="642">
        <f t="shared" si="40"/>
        <v>0</v>
      </c>
      <c r="Q63" s="645">
        <f t="shared" si="40"/>
        <v>0</v>
      </c>
      <c r="R63" s="507" t="s">
        <v>1322</v>
      </c>
      <c r="S63" s="131"/>
      <c r="T63" s="131"/>
      <c r="U63" s="131"/>
    </row>
    <row r="64" spans="1:21" s="130" customFormat="1">
      <c r="A64" s="608"/>
      <c r="B64" s="630" t="s">
        <v>154</v>
      </c>
      <c r="C64" s="647" t="s">
        <v>25</v>
      </c>
      <c r="D64" s="632">
        <f>D65+D66</f>
        <v>0.69874999999999998</v>
      </c>
      <c r="E64" s="633">
        <f t="shared" si="37"/>
        <v>0.17862354143266851</v>
      </c>
      <c r="F64" s="634">
        <f>F65+F66</f>
        <v>7.0331958390924465E-3</v>
      </c>
      <c r="G64" s="635">
        <f>G65+G66</f>
        <v>3.1897252364405736E-2</v>
      </c>
      <c r="H64" s="636">
        <f>H65+H66</f>
        <v>0.13969309322917031</v>
      </c>
      <c r="I64" s="632">
        <f t="shared" si="33"/>
        <v>0.52006696624554405</v>
      </c>
      <c r="J64" s="634">
        <f t="shared" ref="J64:Q64" si="41">J65+J66</f>
        <v>0.33686505078682194</v>
      </c>
      <c r="K64" s="635">
        <f t="shared" si="41"/>
        <v>0.11440991027922441</v>
      </c>
      <c r="L64" s="636">
        <f t="shared" si="41"/>
        <v>6.8792005179497642E-2</v>
      </c>
      <c r="M64" s="637">
        <f t="shared" si="41"/>
        <v>0</v>
      </c>
      <c r="N64" s="632">
        <f t="shared" si="4"/>
        <v>5.949232178756087E-5</v>
      </c>
      <c r="O64" s="637">
        <f>O65+O66</f>
        <v>5.949232178756087E-5</v>
      </c>
      <c r="P64" s="636">
        <f t="shared" si="41"/>
        <v>0</v>
      </c>
      <c r="Q64" s="633">
        <f t="shared" si="41"/>
        <v>0</v>
      </c>
      <c r="R64" s="131"/>
      <c r="S64" s="131"/>
      <c r="T64" s="131"/>
      <c r="U64" s="131"/>
    </row>
    <row r="65" spans="1:21" s="130" customFormat="1" ht="53.4">
      <c r="A65" s="608"/>
      <c r="B65" s="638" t="s">
        <v>406</v>
      </c>
      <c r="C65" s="648" t="s">
        <v>592</v>
      </c>
      <c r="D65" s="717">
        <v>0.69874999999999998</v>
      </c>
      <c r="E65" s="645">
        <f t="shared" si="37"/>
        <v>0.17862354143266851</v>
      </c>
      <c r="F65" s="640">
        <f t="shared" ref="F65:H66" si="42">IFERROR($D65*F85/100, 0)</f>
        <v>7.0331958390924465E-3</v>
      </c>
      <c r="G65" s="641">
        <f t="shared" si="42"/>
        <v>3.1897252364405736E-2</v>
      </c>
      <c r="H65" s="642">
        <f t="shared" si="42"/>
        <v>0.13969309322917031</v>
      </c>
      <c r="I65" s="644">
        <f t="shared" si="33"/>
        <v>0.52006696624554405</v>
      </c>
      <c r="J65" s="640">
        <f t="shared" ref="J65:Q66" si="43">IFERROR($D65*J85/100, 0)</f>
        <v>0.33686505078682194</v>
      </c>
      <c r="K65" s="641">
        <f t="shared" si="43"/>
        <v>0.11440991027922441</v>
      </c>
      <c r="L65" s="642">
        <f t="shared" si="43"/>
        <v>6.8792005179497642E-2</v>
      </c>
      <c r="M65" s="643">
        <f t="shared" si="43"/>
        <v>0</v>
      </c>
      <c r="N65" s="644">
        <f t="shared" si="4"/>
        <v>5.949232178756087E-5</v>
      </c>
      <c r="O65" s="643">
        <f>IFERROR($D65*O85/100, 0)</f>
        <v>5.949232178756087E-5</v>
      </c>
      <c r="P65" s="642">
        <f t="shared" si="43"/>
        <v>0</v>
      </c>
      <c r="Q65" s="645">
        <f t="shared" si="43"/>
        <v>0</v>
      </c>
      <c r="R65" s="507" t="s">
        <v>1324</v>
      </c>
      <c r="S65" s="131"/>
      <c r="T65" s="131"/>
      <c r="U65" s="131"/>
    </row>
    <row r="66" spans="1:21" s="130" customFormat="1">
      <c r="A66" s="608"/>
      <c r="B66" s="638" t="s">
        <v>609</v>
      </c>
      <c r="C66" s="648" t="s">
        <v>29</v>
      </c>
      <c r="D66" s="717">
        <v>0</v>
      </c>
      <c r="E66" s="645">
        <f t="shared" si="37"/>
        <v>0</v>
      </c>
      <c r="F66" s="640">
        <f t="shared" si="42"/>
        <v>0</v>
      </c>
      <c r="G66" s="641">
        <f t="shared" si="42"/>
        <v>0</v>
      </c>
      <c r="H66" s="642">
        <f t="shared" si="42"/>
        <v>0</v>
      </c>
      <c r="I66" s="644">
        <f t="shared" si="33"/>
        <v>0</v>
      </c>
      <c r="J66" s="640">
        <f t="shared" si="43"/>
        <v>0</v>
      </c>
      <c r="K66" s="641">
        <f t="shared" si="43"/>
        <v>0</v>
      </c>
      <c r="L66" s="642">
        <f t="shared" si="43"/>
        <v>0</v>
      </c>
      <c r="M66" s="643">
        <f t="shared" si="43"/>
        <v>0</v>
      </c>
      <c r="N66" s="644">
        <f t="shared" si="4"/>
        <v>0</v>
      </c>
      <c r="O66" s="643">
        <f>IFERROR($D66*O86/100, 0)</f>
        <v>0</v>
      </c>
      <c r="P66" s="642">
        <f t="shared" si="43"/>
        <v>0</v>
      </c>
      <c r="Q66" s="645">
        <f t="shared" si="43"/>
        <v>0</v>
      </c>
      <c r="R66" s="507" t="s">
        <v>1326</v>
      </c>
      <c r="S66" s="131"/>
      <c r="T66" s="131"/>
      <c r="U66" s="131"/>
    </row>
    <row r="67" spans="1:21" s="130" customFormat="1">
      <c r="A67" s="608"/>
      <c r="B67" s="630" t="s">
        <v>407</v>
      </c>
      <c r="C67" s="647" t="s">
        <v>31</v>
      </c>
      <c r="D67" s="632">
        <f>D68+D69</f>
        <v>13.2745051388889</v>
      </c>
      <c r="E67" s="633">
        <f t="shared" si="37"/>
        <v>3.393401243183531</v>
      </c>
      <c r="F67" s="634">
        <f>F68+F69</f>
        <v>0.13361315822374911</v>
      </c>
      <c r="G67" s="635">
        <f>G68+G69</f>
        <v>0.60596814372485153</v>
      </c>
      <c r="H67" s="636">
        <f>H68+H69</f>
        <v>2.6538199412349304</v>
      </c>
      <c r="I67" s="632">
        <f t="shared" si="33"/>
        <v>9.8799736901507487</v>
      </c>
      <c r="J67" s="634">
        <f t="shared" ref="J67:Q67" si="44">J68+J69</f>
        <v>6.399594773211791</v>
      </c>
      <c r="K67" s="635">
        <f t="shared" si="44"/>
        <v>2.1735026002738929</v>
      </c>
      <c r="L67" s="636">
        <f t="shared" si="44"/>
        <v>1.3068763166650639</v>
      </c>
      <c r="M67" s="637">
        <f t="shared" si="44"/>
        <v>0</v>
      </c>
      <c r="N67" s="632">
        <f t="shared" si="4"/>
        <v>1.1302055546238408E-3</v>
      </c>
      <c r="O67" s="637">
        <f>O68+O69</f>
        <v>1.1302055546238408E-3</v>
      </c>
      <c r="P67" s="636">
        <f t="shared" si="44"/>
        <v>0</v>
      </c>
      <c r="Q67" s="633">
        <f t="shared" si="44"/>
        <v>0</v>
      </c>
      <c r="R67" s="131"/>
      <c r="S67" s="131"/>
      <c r="T67" s="131"/>
      <c r="U67" s="131"/>
    </row>
    <row r="68" spans="1:21" s="130" customFormat="1">
      <c r="A68" s="608"/>
      <c r="B68" s="649" t="s">
        <v>408</v>
      </c>
      <c r="C68" s="648" t="s">
        <v>594</v>
      </c>
      <c r="D68" s="717">
        <v>0</v>
      </c>
      <c r="E68" s="645">
        <f t="shared" si="37"/>
        <v>0</v>
      </c>
      <c r="F68" s="640">
        <f t="shared" ref="F68:H69" si="45">IFERROR($D68*F87/100, 0)</f>
        <v>0</v>
      </c>
      <c r="G68" s="641">
        <f t="shared" si="45"/>
        <v>0</v>
      </c>
      <c r="H68" s="642">
        <f t="shared" si="45"/>
        <v>0</v>
      </c>
      <c r="I68" s="644">
        <f t="shared" si="33"/>
        <v>0</v>
      </c>
      <c r="J68" s="640">
        <f t="shared" ref="J68:Q69" si="46">IFERROR($D68*J87/100, 0)</f>
        <v>0</v>
      </c>
      <c r="K68" s="641">
        <f t="shared" si="46"/>
        <v>0</v>
      </c>
      <c r="L68" s="642">
        <f t="shared" si="46"/>
        <v>0</v>
      </c>
      <c r="M68" s="643">
        <f t="shared" si="46"/>
        <v>0</v>
      </c>
      <c r="N68" s="644">
        <f t="shared" si="4"/>
        <v>0</v>
      </c>
      <c r="O68" s="643">
        <f>IFERROR($D68*O87/100, 0)</f>
        <v>0</v>
      </c>
      <c r="P68" s="642">
        <f t="shared" si="46"/>
        <v>0</v>
      </c>
      <c r="Q68" s="645">
        <f t="shared" si="46"/>
        <v>0</v>
      </c>
      <c r="R68" s="507" t="s">
        <v>1328</v>
      </c>
      <c r="S68" s="131"/>
      <c r="T68" s="131"/>
      <c r="U68" s="131"/>
    </row>
    <row r="69" spans="1:21" s="130" customFormat="1" ht="27">
      <c r="A69" s="608"/>
      <c r="B69" s="649" t="s">
        <v>409</v>
      </c>
      <c r="C69" s="701" t="s">
        <v>596</v>
      </c>
      <c r="D69" s="717">
        <v>13.2745051388889</v>
      </c>
      <c r="E69" s="645">
        <f t="shared" si="37"/>
        <v>3.393401243183531</v>
      </c>
      <c r="F69" s="640">
        <f t="shared" si="45"/>
        <v>0.13361315822374911</v>
      </c>
      <c r="G69" s="641">
        <f t="shared" si="45"/>
        <v>0.60596814372485153</v>
      </c>
      <c r="H69" s="642">
        <f t="shared" si="45"/>
        <v>2.6538199412349304</v>
      </c>
      <c r="I69" s="644">
        <f t="shared" si="33"/>
        <v>9.8799736901507487</v>
      </c>
      <c r="J69" s="640">
        <f t="shared" si="46"/>
        <v>6.399594773211791</v>
      </c>
      <c r="K69" s="641">
        <f t="shared" si="46"/>
        <v>2.1735026002738929</v>
      </c>
      <c r="L69" s="642">
        <f t="shared" si="46"/>
        <v>1.3068763166650639</v>
      </c>
      <c r="M69" s="643">
        <f t="shared" si="46"/>
        <v>0</v>
      </c>
      <c r="N69" s="644">
        <f t="shared" si="4"/>
        <v>1.1302055546238408E-3</v>
      </c>
      <c r="O69" s="643">
        <f>IFERROR($D69*O88/100, 0)</f>
        <v>1.1302055546238408E-3</v>
      </c>
      <c r="P69" s="642">
        <f t="shared" si="46"/>
        <v>0</v>
      </c>
      <c r="Q69" s="645">
        <f t="shared" si="46"/>
        <v>0</v>
      </c>
      <c r="R69" s="507" t="s">
        <v>1330</v>
      </c>
      <c r="S69" s="131"/>
      <c r="T69" s="131"/>
      <c r="U69" s="131"/>
    </row>
    <row r="70" spans="1:21" s="130" customFormat="1">
      <c r="A70" s="608"/>
      <c r="B70" s="630" t="s">
        <v>413</v>
      </c>
      <c r="C70" s="658" t="s">
        <v>37</v>
      </c>
      <c r="D70" s="659">
        <f>D71+D72</f>
        <v>56.842981938702998</v>
      </c>
      <c r="E70" s="660">
        <f t="shared" si="37"/>
        <v>14.530940593179736</v>
      </c>
      <c r="F70" s="661">
        <f>F71+F72</f>
        <v>0.57214715427963214</v>
      </c>
      <c r="G70" s="662">
        <f>G71+G72</f>
        <v>2.594826390045319</v>
      </c>
      <c r="H70" s="663">
        <f>H71+H72</f>
        <v>11.363967048854786</v>
      </c>
      <c r="I70" s="664">
        <f t="shared" si="33"/>
        <v>42.307201673290194</v>
      </c>
      <c r="J70" s="661">
        <f t="shared" ref="J70:Q70" si="47">J71+J72</f>
        <v>27.403812519006213</v>
      </c>
      <c r="K70" s="662">
        <f t="shared" si="47"/>
        <v>9.3071920767235561</v>
      </c>
      <c r="L70" s="663">
        <f t="shared" si="47"/>
        <v>5.5961970775604257</v>
      </c>
      <c r="M70" s="665">
        <f t="shared" si="47"/>
        <v>0</v>
      </c>
      <c r="N70" s="664">
        <f t="shared" si="4"/>
        <v>4.8396722330759628E-3</v>
      </c>
      <c r="O70" s="665">
        <f>O71+O72</f>
        <v>4.8396722330759628E-3</v>
      </c>
      <c r="P70" s="663">
        <f t="shared" si="47"/>
        <v>0</v>
      </c>
      <c r="Q70" s="660">
        <f t="shared" si="47"/>
        <v>0</v>
      </c>
      <c r="R70" s="131"/>
      <c r="S70" s="131"/>
      <c r="T70" s="131"/>
      <c r="U70" s="131"/>
    </row>
    <row r="71" spans="1:21" s="130" customFormat="1">
      <c r="A71" s="608"/>
      <c r="B71" s="666" t="s">
        <v>610</v>
      </c>
      <c r="C71" s="667" t="s">
        <v>39</v>
      </c>
      <c r="D71" s="718">
        <v>8.6308402030707949</v>
      </c>
      <c r="E71" s="645">
        <f t="shared" si="37"/>
        <v>2.2063273597308868</v>
      </c>
      <c r="F71" s="640">
        <f t="shared" ref="F71:H72" si="48">IFERROR($D71*F89/100, 0)</f>
        <v>8.6872829200872012E-2</v>
      </c>
      <c r="G71" s="641">
        <f t="shared" si="48"/>
        <v>0.3939893925927842</v>
      </c>
      <c r="H71" s="642">
        <f t="shared" si="48"/>
        <v>1.7254651379372306</v>
      </c>
      <c r="I71" s="644">
        <f t="shared" si="33"/>
        <v>6.4237780043808286</v>
      </c>
      <c r="J71" s="640">
        <f t="shared" ref="J71:Q72" si="49">IFERROR($D71*J89/100, 0)</f>
        <v>4.1608993536177294</v>
      </c>
      <c r="K71" s="641">
        <f t="shared" si="49"/>
        <v>1.4131715968052276</v>
      </c>
      <c r="L71" s="642">
        <f t="shared" si="49"/>
        <v>0.84970705395787138</v>
      </c>
      <c r="M71" s="643">
        <f t="shared" si="49"/>
        <v>0</v>
      </c>
      <c r="N71" s="644">
        <f t="shared" si="4"/>
        <v>7.3483895908136654E-4</v>
      </c>
      <c r="O71" s="643">
        <f>IFERROR($D71*O89/100, 0)</f>
        <v>7.3483895908136654E-4</v>
      </c>
      <c r="P71" s="642">
        <f t="shared" si="49"/>
        <v>0</v>
      </c>
      <c r="Q71" s="645">
        <f t="shared" si="49"/>
        <v>0</v>
      </c>
      <c r="R71" s="131" t="s">
        <v>1332</v>
      </c>
      <c r="S71" s="131"/>
      <c r="T71" s="131"/>
      <c r="U71" s="131"/>
    </row>
    <row r="72" spans="1:21" s="130" customFormat="1" ht="27">
      <c r="A72" s="608"/>
      <c r="B72" s="666" t="s">
        <v>611</v>
      </c>
      <c r="C72" s="675" t="s">
        <v>41</v>
      </c>
      <c r="D72" s="719">
        <v>48.212141735632201</v>
      </c>
      <c r="E72" s="645">
        <f t="shared" si="37"/>
        <v>12.324613233448851</v>
      </c>
      <c r="F72" s="640">
        <f t="shared" si="48"/>
        <v>0.48527432507876012</v>
      </c>
      <c r="G72" s="641">
        <f t="shared" si="48"/>
        <v>2.200836997452535</v>
      </c>
      <c r="H72" s="642">
        <f t="shared" si="48"/>
        <v>9.6385019109175545</v>
      </c>
      <c r="I72" s="644">
        <f t="shared" si="33"/>
        <v>35.883423668909366</v>
      </c>
      <c r="J72" s="640">
        <f t="shared" si="49"/>
        <v>23.242913165388483</v>
      </c>
      <c r="K72" s="641">
        <f t="shared" si="49"/>
        <v>7.8940204799183276</v>
      </c>
      <c r="L72" s="642">
        <f t="shared" si="49"/>
        <v>4.7464900236025542</v>
      </c>
      <c r="M72" s="643">
        <f t="shared" si="49"/>
        <v>0</v>
      </c>
      <c r="N72" s="644">
        <f t="shared" si="4"/>
        <v>4.1048332739945965E-3</v>
      </c>
      <c r="O72" s="643">
        <f>IFERROR($D72*O90/100, 0)</f>
        <v>4.1048332739945965E-3</v>
      </c>
      <c r="P72" s="642">
        <f t="shared" si="49"/>
        <v>0</v>
      </c>
      <c r="Q72" s="645">
        <f t="shared" si="49"/>
        <v>0</v>
      </c>
      <c r="R72" s="131" t="s">
        <v>1334</v>
      </c>
      <c r="S72" s="131"/>
      <c r="T72" s="131"/>
      <c r="U72" s="131"/>
    </row>
    <row r="73" spans="1:21" s="130" customFormat="1">
      <c r="A73" s="608"/>
      <c r="B73" s="677" t="s">
        <v>414</v>
      </c>
      <c r="C73" s="678" t="s">
        <v>597</v>
      </c>
      <c r="D73" s="659">
        <f>D74+D75+D76</f>
        <v>0</v>
      </c>
      <c r="E73" s="660">
        <f t="shared" ref="E73:Q73" si="50">E74+E75+E76</f>
        <v>0</v>
      </c>
      <c r="F73" s="661">
        <f t="shared" si="50"/>
        <v>0</v>
      </c>
      <c r="G73" s="662">
        <f t="shared" si="50"/>
        <v>0</v>
      </c>
      <c r="H73" s="663">
        <f t="shared" si="50"/>
        <v>0</v>
      </c>
      <c r="I73" s="664">
        <f t="shared" si="50"/>
        <v>0</v>
      </c>
      <c r="J73" s="661">
        <f t="shared" si="50"/>
        <v>0</v>
      </c>
      <c r="K73" s="662">
        <f t="shared" si="50"/>
        <v>0</v>
      </c>
      <c r="L73" s="663">
        <f t="shared" si="50"/>
        <v>0</v>
      </c>
      <c r="M73" s="665">
        <f t="shared" si="50"/>
        <v>0</v>
      </c>
      <c r="N73" s="664">
        <f t="shared" ref="N73:N132" si="51">+O73+P73</f>
        <v>0</v>
      </c>
      <c r="O73" s="665">
        <f>O74+O75+O76</f>
        <v>0</v>
      </c>
      <c r="P73" s="663">
        <f t="shared" si="50"/>
        <v>0</v>
      </c>
      <c r="Q73" s="660">
        <f t="shared" si="50"/>
        <v>0</v>
      </c>
      <c r="R73" s="131"/>
      <c r="S73" s="131"/>
      <c r="T73" s="131"/>
      <c r="U73" s="131"/>
    </row>
    <row r="74" spans="1:21" s="130" customFormat="1">
      <c r="A74" s="608"/>
      <c r="B74" s="679" t="s">
        <v>415</v>
      </c>
      <c r="C74" s="675" t="s">
        <v>1352</v>
      </c>
      <c r="D74" s="719">
        <v>0</v>
      </c>
      <c r="E74" s="645">
        <f>SUM(F74:H74)</f>
        <v>0</v>
      </c>
      <c r="F74" s="640">
        <f t="shared" ref="F74:H76" si="52">IFERROR($D74*F91/100, 0)</f>
        <v>0</v>
      </c>
      <c r="G74" s="641">
        <f t="shared" si="52"/>
        <v>0</v>
      </c>
      <c r="H74" s="642">
        <f t="shared" si="52"/>
        <v>0</v>
      </c>
      <c r="I74" s="644">
        <f t="shared" si="33"/>
        <v>0</v>
      </c>
      <c r="J74" s="640">
        <f t="shared" ref="J74:Q76" si="53">IFERROR($D74*J91/100, 0)</f>
        <v>0</v>
      </c>
      <c r="K74" s="641">
        <f t="shared" si="53"/>
        <v>0</v>
      </c>
      <c r="L74" s="642">
        <f t="shared" si="53"/>
        <v>0</v>
      </c>
      <c r="M74" s="643">
        <f t="shared" si="53"/>
        <v>0</v>
      </c>
      <c r="N74" s="644">
        <f t="shared" si="51"/>
        <v>0</v>
      </c>
      <c r="O74" s="643">
        <f>IFERROR($D74*O91/100, 0)</f>
        <v>0</v>
      </c>
      <c r="P74" s="642">
        <f t="shared" si="53"/>
        <v>0</v>
      </c>
      <c r="Q74" s="645">
        <f t="shared" si="53"/>
        <v>0</v>
      </c>
      <c r="R74" s="131" t="s">
        <v>1336</v>
      </c>
      <c r="S74" s="131"/>
      <c r="T74" s="131"/>
      <c r="U74" s="131"/>
    </row>
    <row r="75" spans="1:21" s="130" customFormat="1">
      <c r="A75" s="608"/>
      <c r="B75" s="666" t="s">
        <v>416</v>
      </c>
      <c r="C75" s="675" t="s">
        <v>1352</v>
      </c>
      <c r="D75" s="719">
        <v>0</v>
      </c>
      <c r="E75" s="645">
        <f>SUM(F75:H75)</f>
        <v>0</v>
      </c>
      <c r="F75" s="640">
        <f t="shared" si="52"/>
        <v>0</v>
      </c>
      <c r="G75" s="641">
        <f t="shared" si="52"/>
        <v>0</v>
      </c>
      <c r="H75" s="642">
        <f t="shared" si="52"/>
        <v>0</v>
      </c>
      <c r="I75" s="644">
        <f t="shared" si="33"/>
        <v>0</v>
      </c>
      <c r="J75" s="640">
        <f t="shared" si="53"/>
        <v>0</v>
      </c>
      <c r="K75" s="641">
        <f t="shared" si="53"/>
        <v>0</v>
      </c>
      <c r="L75" s="642">
        <f t="shared" si="53"/>
        <v>0</v>
      </c>
      <c r="M75" s="643">
        <f t="shared" si="53"/>
        <v>0</v>
      </c>
      <c r="N75" s="644">
        <f t="shared" si="51"/>
        <v>0</v>
      </c>
      <c r="O75" s="643">
        <f>IFERROR($D75*O92/100, 0)</f>
        <v>0</v>
      </c>
      <c r="P75" s="642">
        <f t="shared" si="53"/>
        <v>0</v>
      </c>
      <c r="Q75" s="645">
        <f t="shared" si="53"/>
        <v>0</v>
      </c>
      <c r="R75" s="131" t="s">
        <v>1338</v>
      </c>
      <c r="S75" s="131"/>
      <c r="T75" s="131"/>
      <c r="U75" s="131"/>
    </row>
    <row r="76" spans="1:21" s="130" customFormat="1" ht="15" thickBot="1">
      <c r="A76" s="608"/>
      <c r="B76" s="720" t="s">
        <v>417</v>
      </c>
      <c r="C76" s="681" t="s">
        <v>1352</v>
      </c>
      <c r="D76" s="718">
        <v>0</v>
      </c>
      <c r="E76" s="721">
        <f>SUM(F76:H76)</f>
        <v>0</v>
      </c>
      <c r="F76" s="722">
        <f t="shared" si="52"/>
        <v>0</v>
      </c>
      <c r="G76" s="723">
        <f t="shared" si="52"/>
        <v>0</v>
      </c>
      <c r="H76" s="724">
        <f t="shared" si="52"/>
        <v>0</v>
      </c>
      <c r="I76" s="725">
        <f t="shared" si="33"/>
        <v>0</v>
      </c>
      <c r="J76" s="722">
        <f t="shared" si="53"/>
        <v>0</v>
      </c>
      <c r="K76" s="723">
        <f t="shared" si="53"/>
        <v>0</v>
      </c>
      <c r="L76" s="724">
        <f t="shared" si="53"/>
        <v>0</v>
      </c>
      <c r="M76" s="726">
        <f t="shared" si="53"/>
        <v>0</v>
      </c>
      <c r="N76" s="725">
        <f t="shared" si="51"/>
        <v>0</v>
      </c>
      <c r="O76" s="726">
        <f>IFERROR($D76*O93/100, 0)</f>
        <v>0</v>
      </c>
      <c r="P76" s="724">
        <f t="shared" si="53"/>
        <v>0</v>
      </c>
      <c r="Q76" s="721">
        <f t="shared" si="53"/>
        <v>0</v>
      </c>
      <c r="R76" s="131" t="s">
        <v>1340</v>
      </c>
      <c r="S76" s="131"/>
      <c r="T76" s="131"/>
      <c r="U76" s="131"/>
    </row>
    <row r="77" spans="1:21" s="130" customFormat="1" ht="66.599999999999994" thickBot="1">
      <c r="A77" s="608"/>
      <c r="B77" s="727" t="s">
        <v>60</v>
      </c>
      <c r="C77" s="612" t="s">
        <v>612</v>
      </c>
      <c r="D77" s="612" t="s">
        <v>246</v>
      </c>
      <c r="E77" s="613" t="s">
        <v>247</v>
      </c>
      <c r="F77" s="614" t="s">
        <v>248</v>
      </c>
      <c r="G77" s="615" t="s">
        <v>249</v>
      </c>
      <c r="H77" s="616" t="s">
        <v>250</v>
      </c>
      <c r="I77" s="612" t="s">
        <v>251</v>
      </c>
      <c r="J77" s="614" t="s">
        <v>252</v>
      </c>
      <c r="K77" s="615" t="s">
        <v>253</v>
      </c>
      <c r="L77" s="616" t="s">
        <v>254</v>
      </c>
      <c r="M77" s="618" t="s">
        <v>255</v>
      </c>
      <c r="N77" s="619" t="s">
        <v>256</v>
      </c>
      <c r="O77" s="614" t="s">
        <v>586</v>
      </c>
      <c r="P77" s="616" t="s">
        <v>258</v>
      </c>
      <c r="Q77" s="621" t="s">
        <v>259</v>
      </c>
      <c r="R77" s="131"/>
      <c r="S77" s="131"/>
      <c r="T77" s="131"/>
      <c r="U77" s="131"/>
    </row>
    <row r="78" spans="1:21" s="130" customFormat="1" ht="26.4">
      <c r="A78" s="608"/>
      <c r="B78" s="863" t="s">
        <v>62</v>
      </c>
      <c r="C78" s="729" t="str">
        <f>'6'!C78</f>
        <v>C.1.1  Punktui Tiesiogiai paslaugoms priskirto naudojamo turto buhalterinė įsigijimo vertė</v>
      </c>
      <c r="D78" s="730">
        <f t="shared" ref="D78:D93" si="54">O78+E78+I78+M78+P78+Q78</f>
        <v>100.00000000000001</v>
      </c>
      <c r="E78" s="731">
        <f>SUM(F78:H78)</f>
        <v>25.563297521669909</v>
      </c>
      <c r="F78" s="732">
        <f>'6'!F78</f>
        <v>1.0065396549685075</v>
      </c>
      <c r="G78" s="733">
        <f>'6'!G78</f>
        <v>4.5649019483943807</v>
      </c>
      <c r="H78" s="734">
        <f>'6'!H78</f>
        <v>19.991855918307021</v>
      </c>
      <c r="I78" s="735">
        <f t="shared" ref="I78:I93" si="55">SUM(J78:L78)</f>
        <v>74.42818837145532</v>
      </c>
      <c r="J78" s="732">
        <f>'6'!J78</f>
        <v>48.209667375573808</v>
      </c>
      <c r="K78" s="733">
        <f>'6'!K78</f>
        <v>16.373511310085785</v>
      </c>
      <c r="L78" s="734">
        <f>'6'!L78</f>
        <v>9.845009685795727</v>
      </c>
      <c r="M78" s="736">
        <f>'6'!M78</f>
        <v>0</v>
      </c>
      <c r="N78" s="737">
        <f t="shared" si="51"/>
        <v>8.5141068747850972E-3</v>
      </c>
      <c r="O78" s="738">
        <f>'6'!O78</f>
        <v>8.5141068747850972E-3</v>
      </c>
      <c r="P78" s="734">
        <f>'6'!P78</f>
        <v>0</v>
      </c>
      <c r="Q78" s="739">
        <f>'6'!Q78</f>
        <v>0</v>
      </c>
      <c r="R78" s="131" t="s">
        <v>613</v>
      </c>
      <c r="S78" s="131"/>
      <c r="T78" s="131"/>
      <c r="U78" s="131"/>
    </row>
    <row r="79" spans="1:21" s="130" customFormat="1" ht="26.4">
      <c r="A79" s="608"/>
      <c r="B79" s="864" t="s">
        <v>66</v>
      </c>
      <c r="C79" s="741" t="str">
        <f>'6'!C79</f>
        <v>C.1.2.  Punktui Tiesiogiai paslaugoms priskirto naudojamo turto buhalterinė įsigijimo vertė</v>
      </c>
      <c r="D79" s="742">
        <f t="shared" si="54"/>
        <v>100.00000000000001</v>
      </c>
      <c r="E79" s="743">
        <f t="shared" ref="E79:E93" si="56">SUM(F79:H79)</f>
        <v>25.563297521669909</v>
      </c>
      <c r="F79" s="744">
        <f>'6'!F79</f>
        <v>1.0065396549685075</v>
      </c>
      <c r="G79" s="745">
        <f>'6'!G79</f>
        <v>4.5649019483943807</v>
      </c>
      <c r="H79" s="746">
        <f>'6'!H79</f>
        <v>19.991855918307021</v>
      </c>
      <c r="I79" s="747">
        <f t="shared" si="55"/>
        <v>74.42818837145532</v>
      </c>
      <c r="J79" s="744">
        <f>'6'!J79</f>
        <v>48.209667375573808</v>
      </c>
      <c r="K79" s="745">
        <f>'6'!K79</f>
        <v>16.373511310085785</v>
      </c>
      <c r="L79" s="746">
        <f>'6'!L79</f>
        <v>9.845009685795727</v>
      </c>
      <c r="M79" s="748">
        <f>'6'!M79</f>
        <v>0</v>
      </c>
      <c r="N79" s="749">
        <f t="shared" si="51"/>
        <v>8.5141068747850972E-3</v>
      </c>
      <c r="O79" s="750">
        <f>'6'!O79</f>
        <v>8.5141068747850972E-3</v>
      </c>
      <c r="P79" s="746">
        <f>'6'!P79</f>
        <v>0</v>
      </c>
      <c r="Q79" s="751">
        <f>'6'!Q79</f>
        <v>0</v>
      </c>
      <c r="R79" s="131" t="s">
        <v>614</v>
      </c>
      <c r="S79" s="131"/>
      <c r="T79" s="131"/>
      <c r="U79" s="131"/>
    </row>
    <row r="80" spans="1:21" s="130" customFormat="1" ht="26.4">
      <c r="A80" s="608"/>
      <c r="B80" s="864" t="s">
        <v>68</v>
      </c>
      <c r="C80" s="741" t="str">
        <f>'6'!C80</f>
        <v>C.1.3.  Punktui Tiesiogiai paslaugoms priskirto naudojamo turto buhalterinė įsigijimo vertė</v>
      </c>
      <c r="D80" s="742">
        <f t="shared" si="54"/>
        <v>100.00000000000001</v>
      </c>
      <c r="E80" s="743">
        <f t="shared" si="56"/>
        <v>25.563297521669909</v>
      </c>
      <c r="F80" s="744">
        <f>'6'!F80</f>
        <v>1.0065396549685075</v>
      </c>
      <c r="G80" s="745">
        <f>'6'!G80</f>
        <v>4.5649019483943807</v>
      </c>
      <c r="H80" s="746">
        <f>'6'!H80</f>
        <v>19.991855918307021</v>
      </c>
      <c r="I80" s="747">
        <f t="shared" si="55"/>
        <v>74.42818837145532</v>
      </c>
      <c r="J80" s="744">
        <f>'6'!J80</f>
        <v>48.209667375573808</v>
      </c>
      <c r="K80" s="745">
        <f>'6'!K80</f>
        <v>16.373511310085785</v>
      </c>
      <c r="L80" s="746">
        <f>'6'!L80</f>
        <v>9.845009685795727</v>
      </c>
      <c r="M80" s="748">
        <f>'6'!M80</f>
        <v>0</v>
      </c>
      <c r="N80" s="749">
        <f t="shared" si="51"/>
        <v>8.5141068747850972E-3</v>
      </c>
      <c r="O80" s="750">
        <f>'6'!O80</f>
        <v>8.5141068747850972E-3</v>
      </c>
      <c r="P80" s="746">
        <f>'6'!P80</f>
        <v>0</v>
      </c>
      <c r="Q80" s="751">
        <f>'6'!Q80</f>
        <v>0</v>
      </c>
      <c r="R80" s="131" t="s">
        <v>615</v>
      </c>
      <c r="S80" s="131"/>
      <c r="T80" s="131"/>
      <c r="U80" s="131"/>
    </row>
    <row r="81" spans="1:21" s="130" customFormat="1" ht="26.4">
      <c r="A81" s="608"/>
      <c r="B81" s="865" t="s">
        <v>70</v>
      </c>
      <c r="C81" s="741" t="str">
        <f>'6'!C81</f>
        <v>C.2.1  Punktui Tiesiogiai paslaugoms priskirto naudojamo turto buhalterinė įsigijimo vertė</v>
      </c>
      <c r="D81" s="742">
        <f t="shared" si="54"/>
        <v>100.00000000000001</v>
      </c>
      <c r="E81" s="743">
        <f t="shared" si="56"/>
        <v>25.563297521669909</v>
      </c>
      <c r="F81" s="744">
        <f>'6'!F81</f>
        <v>1.0065396549685075</v>
      </c>
      <c r="G81" s="745">
        <f>'6'!G81</f>
        <v>4.5649019483943807</v>
      </c>
      <c r="H81" s="746">
        <f>'6'!H81</f>
        <v>19.991855918307021</v>
      </c>
      <c r="I81" s="747">
        <f t="shared" si="55"/>
        <v>74.42818837145532</v>
      </c>
      <c r="J81" s="744">
        <f>'6'!J81</f>
        <v>48.209667375573808</v>
      </c>
      <c r="K81" s="745">
        <f>'6'!K81</f>
        <v>16.373511310085785</v>
      </c>
      <c r="L81" s="746">
        <f>'6'!L81</f>
        <v>9.845009685795727</v>
      </c>
      <c r="M81" s="748">
        <f>'6'!M81</f>
        <v>0</v>
      </c>
      <c r="N81" s="749">
        <f t="shared" si="51"/>
        <v>8.5141068747850972E-3</v>
      </c>
      <c r="O81" s="750">
        <f>'6'!O81</f>
        <v>8.5141068747850972E-3</v>
      </c>
      <c r="P81" s="746">
        <f>'6'!P81</f>
        <v>0</v>
      </c>
      <c r="Q81" s="751">
        <f>'6'!Q81</f>
        <v>0</v>
      </c>
      <c r="R81" s="131" t="s">
        <v>616</v>
      </c>
      <c r="S81" s="131"/>
      <c r="T81" s="131"/>
      <c r="U81" s="131"/>
    </row>
    <row r="82" spans="1:21" s="130" customFormat="1" ht="26.4">
      <c r="A82" s="608"/>
      <c r="B82" s="864" t="s">
        <v>72</v>
      </c>
      <c r="C82" s="741" t="str">
        <f>'6'!C82</f>
        <v>C.2.2. Punktui Tiesiogiai paslaugoms priskirto naudojamo turto buhalterinė įsigijimo vertė</v>
      </c>
      <c r="D82" s="742">
        <f t="shared" si="54"/>
        <v>100.00000000000001</v>
      </c>
      <c r="E82" s="743">
        <f t="shared" si="56"/>
        <v>25.563297521669909</v>
      </c>
      <c r="F82" s="744">
        <f>'6'!F82</f>
        <v>1.0065396549685075</v>
      </c>
      <c r="G82" s="745">
        <f>'6'!G82</f>
        <v>4.5649019483943807</v>
      </c>
      <c r="H82" s="746">
        <f>'6'!H82</f>
        <v>19.991855918307021</v>
      </c>
      <c r="I82" s="747">
        <f t="shared" si="55"/>
        <v>74.42818837145532</v>
      </c>
      <c r="J82" s="744">
        <f>'6'!J82</f>
        <v>48.209667375573808</v>
      </c>
      <c r="K82" s="745">
        <f>'6'!K82</f>
        <v>16.373511310085785</v>
      </c>
      <c r="L82" s="746">
        <f>'6'!L82</f>
        <v>9.845009685795727</v>
      </c>
      <c r="M82" s="748">
        <f>'6'!M82</f>
        <v>0</v>
      </c>
      <c r="N82" s="749">
        <f t="shared" si="51"/>
        <v>8.5141068747850972E-3</v>
      </c>
      <c r="O82" s="750">
        <f>'6'!O82</f>
        <v>8.5141068747850972E-3</v>
      </c>
      <c r="P82" s="746">
        <f>'6'!P82</f>
        <v>0</v>
      </c>
      <c r="Q82" s="751">
        <f>'6'!Q82</f>
        <v>0</v>
      </c>
      <c r="R82" s="131" t="s">
        <v>617</v>
      </c>
      <c r="S82" s="131"/>
      <c r="T82" s="131"/>
      <c r="U82" s="131"/>
    </row>
    <row r="83" spans="1:21" s="130" customFormat="1" ht="26.4">
      <c r="A83" s="608"/>
      <c r="B83" s="864" t="s">
        <v>458</v>
      </c>
      <c r="C83" s="741" t="str">
        <f>'6'!C83</f>
        <v>C.2.3  Punktui Tiesiogiai paslaugoms priskirto naudojamo turto buhalterinė įsigijimo vertė</v>
      </c>
      <c r="D83" s="742">
        <f t="shared" si="54"/>
        <v>100.00000000000001</v>
      </c>
      <c r="E83" s="743">
        <f t="shared" si="56"/>
        <v>25.563297521669909</v>
      </c>
      <c r="F83" s="744">
        <f>'6'!F83</f>
        <v>1.0065396549685075</v>
      </c>
      <c r="G83" s="745">
        <f>'6'!G83</f>
        <v>4.5649019483943807</v>
      </c>
      <c r="H83" s="746">
        <f>'6'!H83</f>
        <v>19.991855918307021</v>
      </c>
      <c r="I83" s="747">
        <f t="shared" si="55"/>
        <v>74.42818837145532</v>
      </c>
      <c r="J83" s="744">
        <f>'6'!J83</f>
        <v>48.209667375573808</v>
      </c>
      <c r="K83" s="745">
        <f>'6'!K83</f>
        <v>16.373511310085785</v>
      </c>
      <c r="L83" s="746">
        <f>'6'!L83</f>
        <v>9.845009685795727</v>
      </c>
      <c r="M83" s="748">
        <f>'6'!M83</f>
        <v>0</v>
      </c>
      <c r="N83" s="749">
        <f t="shared" si="51"/>
        <v>8.5141068747850972E-3</v>
      </c>
      <c r="O83" s="750">
        <f>'6'!O83</f>
        <v>8.5141068747850972E-3</v>
      </c>
      <c r="P83" s="746">
        <f>'6'!P83</f>
        <v>0</v>
      </c>
      <c r="Q83" s="751">
        <f>'6'!Q83</f>
        <v>0</v>
      </c>
      <c r="R83" s="131" t="s">
        <v>618</v>
      </c>
      <c r="S83" s="131"/>
      <c r="T83" s="131"/>
      <c r="U83" s="131"/>
    </row>
    <row r="84" spans="1:21" s="130" customFormat="1" ht="26.4">
      <c r="A84" s="608"/>
      <c r="B84" s="864" t="s">
        <v>462</v>
      </c>
      <c r="C84" s="741" t="str">
        <f>'6'!C84</f>
        <v>C.2.4  Punktui Tiesiogiai paslaugoms priskirto naudojamo turto buhalterinė įsigijimo vertė</v>
      </c>
      <c r="D84" s="742">
        <f t="shared" si="54"/>
        <v>100.00000000000001</v>
      </c>
      <c r="E84" s="743">
        <f t="shared" si="56"/>
        <v>25.563297521669909</v>
      </c>
      <c r="F84" s="744">
        <f>'6'!F84</f>
        <v>1.0065396549685075</v>
      </c>
      <c r="G84" s="745">
        <f>'6'!G84</f>
        <v>4.5649019483943807</v>
      </c>
      <c r="H84" s="746">
        <f>'6'!H84</f>
        <v>19.991855918307021</v>
      </c>
      <c r="I84" s="747">
        <f t="shared" si="55"/>
        <v>74.42818837145532</v>
      </c>
      <c r="J84" s="744">
        <f>'6'!J84</f>
        <v>48.209667375573808</v>
      </c>
      <c r="K84" s="745">
        <f>'6'!K84</f>
        <v>16.373511310085785</v>
      </c>
      <c r="L84" s="746">
        <f>'6'!L84</f>
        <v>9.845009685795727</v>
      </c>
      <c r="M84" s="748">
        <f>'6'!M84</f>
        <v>0</v>
      </c>
      <c r="N84" s="749">
        <f t="shared" si="51"/>
        <v>8.5141068747850972E-3</v>
      </c>
      <c r="O84" s="750">
        <f>'6'!O84</f>
        <v>8.5141068747850972E-3</v>
      </c>
      <c r="P84" s="746">
        <f>'6'!P84</f>
        <v>0</v>
      </c>
      <c r="Q84" s="751">
        <f>'6'!Q84</f>
        <v>0</v>
      </c>
      <c r="R84" s="131" t="s">
        <v>619</v>
      </c>
      <c r="S84" s="131"/>
      <c r="T84" s="131"/>
      <c r="U84" s="131"/>
    </row>
    <row r="85" spans="1:21" s="130" customFormat="1" ht="26.4">
      <c r="A85" s="608"/>
      <c r="B85" s="865" t="s">
        <v>466</v>
      </c>
      <c r="C85" s="741" t="str">
        <f>'6'!C85</f>
        <v>C.3.1.  Punktui Tiesiogiai paslaugoms priskirto naudojamo turto buhalterinė įsigijimo vertė</v>
      </c>
      <c r="D85" s="742">
        <f t="shared" si="54"/>
        <v>100.00000000000001</v>
      </c>
      <c r="E85" s="743">
        <f t="shared" si="56"/>
        <v>25.563297521669909</v>
      </c>
      <c r="F85" s="744">
        <f>'6'!F85</f>
        <v>1.0065396549685075</v>
      </c>
      <c r="G85" s="745">
        <f>'6'!G85</f>
        <v>4.5649019483943807</v>
      </c>
      <c r="H85" s="746">
        <f>'6'!H85</f>
        <v>19.991855918307021</v>
      </c>
      <c r="I85" s="747">
        <f t="shared" si="55"/>
        <v>74.42818837145532</v>
      </c>
      <c r="J85" s="744">
        <f>'6'!J85</f>
        <v>48.209667375573808</v>
      </c>
      <c r="K85" s="745">
        <f>'6'!K85</f>
        <v>16.373511310085785</v>
      </c>
      <c r="L85" s="746">
        <f>'6'!L85</f>
        <v>9.845009685795727</v>
      </c>
      <c r="M85" s="748">
        <f>'6'!M85</f>
        <v>0</v>
      </c>
      <c r="N85" s="749">
        <f t="shared" si="51"/>
        <v>8.5141068747850972E-3</v>
      </c>
      <c r="O85" s="750">
        <f>'6'!O85</f>
        <v>8.5141068747850972E-3</v>
      </c>
      <c r="P85" s="746">
        <f>'6'!P85</f>
        <v>0</v>
      </c>
      <c r="Q85" s="751">
        <f>'6'!Q85</f>
        <v>0</v>
      </c>
      <c r="R85" s="131" t="s">
        <v>620</v>
      </c>
      <c r="S85" s="131"/>
      <c r="T85" s="131"/>
      <c r="U85" s="131"/>
    </row>
    <row r="86" spans="1:21" s="130" customFormat="1" ht="26.4">
      <c r="A86" s="608"/>
      <c r="B86" s="865" t="s">
        <v>470</v>
      </c>
      <c r="C86" s="741" t="str">
        <f>'6'!C86</f>
        <v>C.3.2.  Punktui Tiesiogiai paslaugoms priskirto naudojamo turto buhalterinė įsigijimo vertė</v>
      </c>
      <c r="D86" s="742">
        <f t="shared" si="54"/>
        <v>100.00000000000001</v>
      </c>
      <c r="E86" s="743">
        <f t="shared" si="56"/>
        <v>25.563297521669909</v>
      </c>
      <c r="F86" s="744">
        <f>'6'!F86</f>
        <v>1.0065396549685075</v>
      </c>
      <c r="G86" s="745">
        <f>'6'!G86</f>
        <v>4.5649019483943807</v>
      </c>
      <c r="H86" s="746">
        <f>'6'!H86</f>
        <v>19.991855918307021</v>
      </c>
      <c r="I86" s="747">
        <f t="shared" si="55"/>
        <v>74.42818837145532</v>
      </c>
      <c r="J86" s="744">
        <f>'6'!J86</f>
        <v>48.209667375573808</v>
      </c>
      <c r="K86" s="745">
        <f>'6'!K86</f>
        <v>16.373511310085785</v>
      </c>
      <c r="L86" s="746">
        <f>'6'!L86</f>
        <v>9.845009685795727</v>
      </c>
      <c r="M86" s="748">
        <f>'6'!M86</f>
        <v>0</v>
      </c>
      <c r="N86" s="749">
        <f t="shared" si="51"/>
        <v>8.5141068747850972E-3</v>
      </c>
      <c r="O86" s="750">
        <f>'6'!O86</f>
        <v>8.5141068747850972E-3</v>
      </c>
      <c r="P86" s="746">
        <f>'6'!P86</f>
        <v>0</v>
      </c>
      <c r="Q86" s="751">
        <f>'6'!Q86</f>
        <v>0</v>
      </c>
      <c r="R86" s="131" t="s">
        <v>621</v>
      </c>
      <c r="S86" s="131"/>
      <c r="T86" s="131"/>
      <c r="U86" s="131"/>
    </row>
    <row r="87" spans="1:21" s="130" customFormat="1" ht="26.4">
      <c r="A87" s="608"/>
      <c r="B87" s="865" t="s">
        <v>486</v>
      </c>
      <c r="C87" s="741" t="str">
        <f>'6'!C87</f>
        <v>C.4.1  Punktui Tiesiogiai paslaugoms priskirto naudojamo turto buhalterinė įsigijimo vertė</v>
      </c>
      <c r="D87" s="742">
        <f t="shared" si="54"/>
        <v>100.00000000000001</v>
      </c>
      <c r="E87" s="743">
        <f t="shared" si="56"/>
        <v>25.563297521669909</v>
      </c>
      <c r="F87" s="744">
        <f>'6'!F87</f>
        <v>1.0065396549685075</v>
      </c>
      <c r="G87" s="745">
        <f>'6'!G87</f>
        <v>4.5649019483943807</v>
      </c>
      <c r="H87" s="746">
        <f>'6'!H87</f>
        <v>19.991855918307021</v>
      </c>
      <c r="I87" s="747">
        <f t="shared" si="55"/>
        <v>74.42818837145532</v>
      </c>
      <c r="J87" s="744">
        <f>'6'!J87</f>
        <v>48.209667375573808</v>
      </c>
      <c r="K87" s="745">
        <f>'6'!K87</f>
        <v>16.373511310085785</v>
      </c>
      <c r="L87" s="746">
        <f>'6'!L87</f>
        <v>9.845009685795727</v>
      </c>
      <c r="M87" s="748">
        <f>'6'!M87</f>
        <v>0</v>
      </c>
      <c r="N87" s="749">
        <f t="shared" si="51"/>
        <v>8.5141068747850972E-3</v>
      </c>
      <c r="O87" s="750">
        <f>'6'!O87</f>
        <v>8.5141068747850972E-3</v>
      </c>
      <c r="P87" s="746">
        <f>'6'!P87</f>
        <v>0</v>
      </c>
      <c r="Q87" s="751">
        <f>'6'!Q87</f>
        <v>0</v>
      </c>
      <c r="R87" s="131" t="s">
        <v>622</v>
      </c>
      <c r="S87" s="131"/>
      <c r="T87" s="131"/>
      <c r="U87" s="131"/>
    </row>
    <row r="88" spans="1:21" s="130" customFormat="1" ht="26.4">
      <c r="A88" s="608"/>
      <c r="B88" s="865" t="s">
        <v>488</v>
      </c>
      <c r="C88" s="741" t="str">
        <f>'6'!C88</f>
        <v>C.4.2  Punktui Tiesiogiai paslaugoms priskirto naudojamo turto buhalterinė įsigijimo vertė</v>
      </c>
      <c r="D88" s="742">
        <f t="shared" si="54"/>
        <v>100.00000000000001</v>
      </c>
      <c r="E88" s="743">
        <f t="shared" si="56"/>
        <v>25.563297521669909</v>
      </c>
      <c r="F88" s="744">
        <f>'6'!F88</f>
        <v>1.0065396549685075</v>
      </c>
      <c r="G88" s="745">
        <f>'6'!G88</f>
        <v>4.5649019483943807</v>
      </c>
      <c r="H88" s="746">
        <f>'6'!H88</f>
        <v>19.991855918307021</v>
      </c>
      <c r="I88" s="747">
        <f t="shared" si="55"/>
        <v>74.42818837145532</v>
      </c>
      <c r="J88" s="744">
        <f>'6'!J88</f>
        <v>48.209667375573808</v>
      </c>
      <c r="K88" s="745">
        <f>'6'!K88</f>
        <v>16.373511310085785</v>
      </c>
      <c r="L88" s="746">
        <f>'6'!L88</f>
        <v>9.845009685795727</v>
      </c>
      <c r="M88" s="748">
        <f>'6'!M88</f>
        <v>0</v>
      </c>
      <c r="N88" s="749">
        <f t="shared" si="51"/>
        <v>8.5141068747850972E-3</v>
      </c>
      <c r="O88" s="750">
        <f>'6'!O88</f>
        <v>8.5141068747850972E-3</v>
      </c>
      <c r="P88" s="746">
        <f>'6'!P88</f>
        <v>0</v>
      </c>
      <c r="Q88" s="751">
        <f>'6'!Q88</f>
        <v>0</v>
      </c>
      <c r="R88" s="131" t="s">
        <v>623</v>
      </c>
      <c r="S88" s="131"/>
      <c r="T88" s="131"/>
      <c r="U88" s="131"/>
    </row>
    <row r="89" spans="1:21" s="130" customFormat="1" ht="26.4">
      <c r="A89" s="608"/>
      <c r="B89" s="865" t="s">
        <v>624</v>
      </c>
      <c r="C89" s="741" t="str">
        <f>'6'!C89</f>
        <v>C.5.1  Punktui Tiesiogiai paslaugoms priskirto naudojamo turto buhalterinė įsigijimo vertė</v>
      </c>
      <c r="D89" s="742">
        <f t="shared" si="54"/>
        <v>100.00000000000001</v>
      </c>
      <c r="E89" s="743">
        <f t="shared" si="56"/>
        <v>25.563297521669909</v>
      </c>
      <c r="F89" s="744">
        <f>'6'!F89</f>
        <v>1.0065396549685075</v>
      </c>
      <c r="G89" s="745">
        <f>'6'!G89</f>
        <v>4.5649019483943807</v>
      </c>
      <c r="H89" s="746">
        <f>'6'!H89</f>
        <v>19.991855918307021</v>
      </c>
      <c r="I89" s="747">
        <f t="shared" si="55"/>
        <v>74.42818837145532</v>
      </c>
      <c r="J89" s="744">
        <f>'6'!J89</f>
        <v>48.209667375573808</v>
      </c>
      <c r="K89" s="745">
        <f>'6'!K89</f>
        <v>16.373511310085785</v>
      </c>
      <c r="L89" s="746">
        <f>'6'!L89</f>
        <v>9.845009685795727</v>
      </c>
      <c r="M89" s="748">
        <f>'6'!M89</f>
        <v>0</v>
      </c>
      <c r="N89" s="749">
        <f t="shared" si="51"/>
        <v>8.5141068747850972E-3</v>
      </c>
      <c r="O89" s="750">
        <f>'6'!O89</f>
        <v>8.5141068747850972E-3</v>
      </c>
      <c r="P89" s="746">
        <f>'6'!P89</f>
        <v>0</v>
      </c>
      <c r="Q89" s="751">
        <f>'6'!Q89</f>
        <v>0</v>
      </c>
      <c r="R89" s="131" t="s">
        <v>625</v>
      </c>
      <c r="S89" s="131"/>
      <c r="T89" s="131"/>
      <c r="U89" s="131"/>
    </row>
    <row r="90" spans="1:21" s="130" customFormat="1" ht="26.4">
      <c r="A90" s="608"/>
      <c r="B90" s="865" t="s">
        <v>626</v>
      </c>
      <c r="C90" s="741" t="str">
        <f>'6'!C90</f>
        <v>C.5.2.  Punktui Tiesiogiai paslaugoms priskirto naudojamo turto buhalterinė įsigijimo vertė</v>
      </c>
      <c r="D90" s="742">
        <f t="shared" si="54"/>
        <v>100.00000000000001</v>
      </c>
      <c r="E90" s="743">
        <f t="shared" si="56"/>
        <v>25.563297521669909</v>
      </c>
      <c r="F90" s="744">
        <f>'6'!F90</f>
        <v>1.0065396549685075</v>
      </c>
      <c r="G90" s="745">
        <f>'6'!G90</f>
        <v>4.5649019483943807</v>
      </c>
      <c r="H90" s="746">
        <f>'6'!H90</f>
        <v>19.991855918307021</v>
      </c>
      <c r="I90" s="747">
        <f t="shared" si="55"/>
        <v>74.42818837145532</v>
      </c>
      <c r="J90" s="744">
        <f>'6'!J90</f>
        <v>48.209667375573808</v>
      </c>
      <c r="K90" s="745">
        <f>'6'!K90</f>
        <v>16.373511310085785</v>
      </c>
      <c r="L90" s="746">
        <f>'6'!L90</f>
        <v>9.845009685795727</v>
      </c>
      <c r="M90" s="748">
        <f>'6'!M90</f>
        <v>0</v>
      </c>
      <c r="N90" s="749">
        <f t="shared" si="51"/>
        <v>8.5141068747850972E-3</v>
      </c>
      <c r="O90" s="750">
        <f>'6'!O90</f>
        <v>8.5141068747850972E-3</v>
      </c>
      <c r="P90" s="746">
        <f>'6'!P90</f>
        <v>0</v>
      </c>
      <c r="Q90" s="751">
        <f>'6'!Q90</f>
        <v>0</v>
      </c>
      <c r="R90" s="131" t="s">
        <v>627</v>
      </c>
      <c r="S90" s="131"/>
      <c r="T90" s="131"/>
      <c r="U90" s="131"/>
    </row>
    <row r="91" spans="1:21" s="130" customFormat="1" ht="26.4">
      <c r="A91" s="608"/>
      <c r="B91" s="864" t="s">
        <v>628</v>
      </c>
      <c r="C91" s="741" t="str">
        <f>'6'!C91</f>
        <v>C.6.1.  Punktui Tiesiogiai paslaugoms priskirto naudojamo turto buhalterinė įsigijimo vertė</v>
      </c>
      <c r="D91" s="742">
        <f t="shared" si="54"/>
        <v>100.00000000000001</v>
      </c>
      <c r="E91" s="743">
        <f t="shared" si="56"/>
        <v>25.563297521669909</v>
      </c>
      <c r="F91" s="744">
        <f>'6'!F91</f>
        <v>1.0065396549685075</v>
      </c>
      <c r="G91" s="745">
        <f>'6'!G91</f>
        <v>4.5649019483943807</v>
      </c>
      <c r="H91" s="746">
        <f>'6'!H91</f>
        <v>19.991855918307021</v>
      </c>
      <c r="I91" s="747">
        <f t="shared" si="55"/>
        <v>74.42818837145532</v>
      </c>
      <c r="J91" s="744">
        <f>'6'!J91</f>
        <v>48.209667375573808</v>
      </c>
      <c r="K91" s="745">
        <f>'6'!K91</f>
        <v>16.373511310085785</v>
      </c>
      <c r="L91" s="746">
        <f>'6'!L91</f>
        <v>9.845009685795727</v>
      </c>
      <c r="M91" s="748">
        <f>'6'!M91</f>
        <v>0</v>
      </c>
      <c r="N91" s="749">
        <f t="shared" si="51"/>
        <v>8.5141068747850972E-3</v>
      </c>
      <c r="O91" s="750">
        <f>'6'!O91</f>
        <v>8.5141068747850972E-3</v>
      </c>
      <c r="P91" s="746">
        <f>'6'!P91</f>
        <v>0</v>
      </c>
      <c r="Q91" s="751">
        <f>'6'!Q91</f>
        <v>0</v>
      </c>
      <c r="R91" s="131" t="s">
        <v>629</v>
      </c>
      <c r="S91" s="131"/>
      <c r="T91" s="131"/>
      <c r="U91" s="131"/>
    </row>
    <row r="92" spans="1:21" s="130" customFormat="1" ht="26.4">
      <c r="A92" s="608"/>
      <c r="B92" s="865" t="s">
        <v>630</v>
      </c>
      <c r="C92" s="762" t="str">
        <f>'6'!C92</f>
        <v>C.6.2.  Punktui Tiesiogiai paslaugoms priskirto naudojamo turto buhalterinė įsigijimo vertė</v>
      </c>
      <c r="D92" s="866">
        <f t="shared" si="54"/>
        <v>100.00000000000001</v>
      </c>
      <c r="E92" s="867">
        <f t="shared" si="56"/>
        <v>25.563297521669909</v>
      </c>
      <c r="F92" s="868">
        <f>'6'!F92</f>
        <v>1.0065396549685075</v>
      </c>
      <c r="G92" s="869">
        <f>'6'!G92</f>
        <v>4.5649019483943807</v>
      </c>
      <c r="H92" s="870">
        <f>'6'!H92</f>
        <v>19.991855918307021</v>
      </c>
      <c r="I92" s="871">
        <f t="shared" si="55"/>
        <v>74.42818837145532</v>
      </c>
      <c r="J92" s="868">
        <f>'6'!J92</f>
        <v>48.209667375573808</v>
      </c>
      <c r="K92" s="869">
        <f>'6'!K92</f>
        <v>16.373511310085785</v>
      </c>
      <c r="L92" s="870">
        <f>'6'!L92</f>
        <v>9.845009685795727</v>
      </c>
      <c r="M92" s="872">
        <f>'6'!M92</f>
        <v>0</v>
      </c>
      <c r="N92" s="873">
        <f t="shared" si="51"/>
        <v>8.5141068747850972E-3</v>
      </c>
      <c r="O92" s="874">
        <f>'6'!O92</f>
        <v>8.5141068747850972E-3</v>
      </c>
      <c r="P92" s="870">
        <f>'6'!P92</f>
        <v>0</v>
      </c>
      <c r="Q92" s="875">
        <f>'6'!Q92</f>
        <v>0</v>
      </c>
      <c r="R92" s="131" t="s">
        <v>631</v>
      </c>
      <c r="S92" s="131"/>
      <c r="T92" s="131"/>
      <c r="U92" s="131"/>
    </row>
    <row r="93" spans="1:21" s="130" customFormat="1" ht="27" thickBot="1">
      <c r="A93" s="608"/>
      <c r="B93" s="876" t="s">
        <v>632</v>
      </c>
      <c r="C93" s="774" t="str">
        <f>'6'!C93</f>
        <v>C.6.3.  Punktui Tiesiogiai paslaugoms priskirto naudojamo turto buhalterinė įsigijimo vertė</v>
      </c>
      <c r="D93" s="877">
        <f t="shared" si="54"/>
        <v>100.00000000000001</v>
      </c>
      <c r="E93" s="878">
        <f t="shared" si="56"/>
        <v>25.563297521669909</v>
      </c>
      <c r="F93" s="879">
        <f>'6'!F93</f>
        <v>1.0065396549685075</v>
      </c>
      <c r="G93" s="880">
        <f>'6'!G93</f>
        <v>4.5649019483943807</v>
      </c>
      <c r="H93" s="881">
        <f>'6'!H93</f>
        <v>19.991855918307021</v>
      </c>
      <c r="I93" s="882">
        <f t="shared" si="55"/>
        <v>74.42818837145532</v>
      </c>
      <c r="J93" s="879">
        <f>'6'!J93</f>
        <v>48.209667375573808</v>
      </c>
      <c r="K93" s="880">
        <f>'6'!K93</f>
        <v>16.373511310085785</v>
      </c>
      <c r="L93" s="881">
        <f>'6'!L93</f>
        <v>9.845009685795727</v>
      </c>
      <c r="M93" s="883">
        <f>'6'!M93</f>
        <v>0</v>
      </c>
      <c r="N93" s="884">
        <f t="shared" si="51"/>
        <v>8.5141068747850972E-3</v>
      </c>
      <c r="O93" s="883">
        <f>'6'!O93</f>
        <v>8.5141068747850972E-3</v>
      </c>
      <c r="P93" s="881">
        <f>'6'!P93</f>
        <v>0</v>
      </c>
      <c r="Q93" s="885">
        <f>'6'!Q93</f>
        <v>0</v>
      </c>
      <c r="R93" s="131" t="s">
        <v>633</v>
      </c>
      <c r="S93" s="131"/>
      <c r="T93" s="131"/>
      <c r="U93" s="131"/>
    </row>
    <row r="94" spans="1:21" ht="15.6" thickTop="1" thickBot="1">
      <c r="A94" s="608" t="s">
        <v>634</v>
      </c>
      <c r="B94" s="622" t="s">
        <v>74</v>
      </c>
      <c r="C94" s="623" t="s">
        <v>635</v>
      </c>
      <c r="D94" s="624">
        <f t="shared" ref="D94:Q94" si="57">D95+D99+D104+D106+D109+D112</f>
        <v>68.286046469387756</v>
      </c>
      <c r="E94" s="625">
        <f t="shared" si="57"/>
        <v>19.466720537917265</v>
      </c>
      <c r="F94" s="626">
        <f t="shared" si="57"/>
        <v>3.8734934976380542</v>
      </c>
      <c r="G94" s="627">
        <f t="shared" si="57"/>
        <v>3.2076675271734292</v>
      </c>
      <c r="H94" s="628">
        <f t="shared" si="57"/>
        <v>12.385559513105783</v>
      </c>
      <c r="I94" s="624">
        <f t="shared" si="57"/>
        <v>44.334131173320927</v>
      </c>
      <c r="J94" s="626">
        <f t="shared" si="57"/>
        <v>20.618633596209378</v>
      </c>
      <c r="K94" s="627">
        <f t="shared" si="57"/>
        <v>17.722853202879442</v>
      </c>
      <c r="L94" s="628">
        <f t="shared" si="57"/>
        <v>5.9926443742321078</v>
      </c>
      <c r="M94" s="629">
        <f t="shared" si="57"/>
        <v>0.22723084680392897</v>
      </c>
      <c r="N94" s="624">
        <f t="shared" si="51"/>
        <v>2.3485252960456671</v>
      </c>
      <c r="O94" s="629">
        <f>O95+O99+O104+O106+O109+O112</f>
        <v>2.3485252960456671</v>
      </c>
      <c r="P94" s="628">
        <f t="shared" si="57"/>
        <v>0</v>
      </c>
      <c r="Q94" s="625">
        <f t="shared" si="57"/>
        <v>1.9094386152999758</v>
      </c>
      <c r="S94" s="131"/>
      <c r="T94" s="131"/>
      <c r="U94" s="131"/>
    </row>
    <row r="95" spans="1:21" ht="15" thickTop="1">
      <c r="A95" s="608"/>
      <c r="B95" s="630" t="s">
        <v>491</v>
      </c>
      <c r="C95" s="631" t="s">
        <v>6</v>
      </c>
      <c r="D95" s="632">
        <f>SUM(D96:D98)</f>
        <v>0</v>
      </c>
      <c r="E95" s="633">
        <f>SUM(F95:H95)</f>
        <v>0</v>
      </c>
      <c r="F95" s="634">
        <f>SUM(F96:F98)</f>
        <v>0</v>
      </c>
      <c r="G95" s="635">
        <f>SUM(G96:G98)</f>
        <v>0</v>
      </c>
      <c r="H95" s="636">
        <f>SUM(H96:H98)</f>
        <v>0</v>
      </c>
      <c r="I95" s="632">
        <f t="shared" ref="I95:I115" si="58">SUM(J95:L95)</f>
        <v>0</v>
      </c>
      <c r="J95" s="634">
        <f t="shared" ref="J95:Q95" si="59">SUM(J96:J98)</f>
        <v>0</v>
      </c>
      <c r="K95" s="635">
        <f t="shared" si="59"/>
        <v>0</v>
      </c>
      <c r="L95" s="636">
        <f t="shared" si="59"/>
        <v>0</v>
      </c>
      <c r="M95" s="637">
        <f t="shared" si="59"/>
        <v>0</v>
      </c>
      <c r="N95" s="632">
        <f t="shared" si="51"/>
        <v>0</v>
      </c>
      <c r="O95" s="637">
        <f>SUM(O96:O98)</f>
        <v>0</v>
      </c>
      <c r="P95" s="636">
        <f t="shared" si="59"/>
        <v>0</v>
      </c>
      <c r="Q95" s="633">
        <f t="shared" si="59"/>
        <v>0</v>
      </c>
      <c r="S95" s="131"/>
      <c r="T95" s="131"/>
      <c r="U95" s="131"/>
    </row>
    <row r="96" spans="1:21">
      <c r="A96" s="608"/>
      <c r="B96" s="638" t="s">
        <v>492</v>
      </c>
      <c r="C96" s="639" t="s">
        <v>8</v>
      </c>
      <c r="D96" s="717">
        <v>0</v>
      </c>
      <c r="E96" s="645">
        <f>SUM(F96:H96)</f>
        <v>0</v>
      </c>
      <c r="F96" s="640">
        <f t="shared" ref="F96:H98" si="60">IFERROR($D96*F117/100, 0)</f>
        <v>0</v>
      </c>
      <c r="G96" s="641">
        <f t="shared" si="60"/>
        <v>0</v>
      </c>
      <c r="H96" s="642">
        <f t="shared" si="60"/>
        <v>0</v>
      </c>
      <c r="I96" s="644">
        <f t="shared" si="58"/>
        <v>0</v>
      </c>
      <c r="J96" s="640">
        <f t="shared" ref="J96:Q98" si="61">IFERROR($D96*J117/100, 0)</f>
        <v>0</v>
      </c>
      <c r="K96" s="641">
        <f t="shared" si="61"/>
        <v>0</v>
      </c>
      <c r="L96" s="642">
        <f t="shared" si="61"/>
        <v>0</v>
      </c>
      <c r="M96" s="643">
        <f t="shared" si="61"/>
        <v>0</v>
      </c>
      <c r="N96" s="644">
        <f t="shared" si="51"/>
        <v>0</v>
      </c>
      <c r="O96" s="643">
        <f>IFERROR($D96*O117/100, 0)</f>
        <v>0</v>
      </c>
      <c r="P96" s="642">
        <f t="shared" si="61"/>
        <v>0</v>
      </c>
      <c r="Q96" s="645">
        <f t="shared" si="61"/>
        <v>0</v>
      </c>
      <c r="R96" s="131" t="s">
        <v>1310</v>
      </c>
      <c r="S96" s="131"/>
      <c r="T96" s="131"/>
      <c r="U96" s="131"/>
    </row>
    <row r="97" spans="1:21">
      <c r="A97" s="608"/>
      <c r="B97" s="638" t="s">
        <v>636</v>
      </c>
      <c r="C97" s="639" t="s">
        <v>9</v>
      </c>
      <c r="D97" s="717">
        <v>0</v>
      </c>
      <c r="E97" s="645">
        <f t="shared" ref="E97:E111" si="62">SUM(F97:H97)</f>
        <v>0</v>
      </c>
      <c r="F97" s="640">
        <f t="shared" si="60"/>
        <v>0</v>
      </c>
      <c r="G97" s="641">
        <f t="shared" si="60"/>
        <v>0</v>
      </c>
      <c r="H97" s="642">
        <f t="shared" si="60"/>
        <v>0</v>
      </c>
      <c r="I97" s="644">
        <f t="shared" si="58"/>
        <v>0</v>
      </c>
      <c r="J97" s="640">
        <f t="shared" si="61"/>
        <v>0</v>
      </c>
      <c r="K97" s="641">
        <f t="shared" si="61"/>
        <v>0</v>
      </c>
      <c r="L97" s="642">
        <f t="shared" si="61"/>
        <v>0</v>
      </c>
      <c r="M97" s="643">
        <f t="shared" si="61"/>
        <v>0</v>
      </c>
      <c r="N97" s="644">
        <f t="shared" si="51"/>
        <v>0</v>
      </c>
      <c r="O97" s="643">
        <f>IFERROR($D97*O118/100, 0)</f>
        <v>0</v>
      </c>
      <c r="P97" s="642">
        <f t="shared" si="61"/>
        <v>0</v>
      </c>
      <c r="Q97" s="645">
        <f t="shared" si="61"/>
        <v>0</v>
      </c>
      <c r="R97" s="131" t="s">
        <v>1312</v>
      </c>
      <c r="S97" s="131"/>
      <c r="T97" s="131"/>
      <c r="U97" s="131"/>
    </row>
    <row r="98" spans="1:21">
      <c r="A98" s="608"/>
      <c r="B98" s="638" t="s">
        <v>637</v>
      </c>
      <c r="C98" s="639" t="s">
        <v>11</v>
      </c>
      <c r="D98" s="717">
        <v>0</v>
      </c>
      <c r="E98" s="645">
        <f t="shared" si="62"/>
        <v>0</v>
      </c>
      <c r="F98" s="640">
        <f t="shared" si="60"/>
        <v>0</v>
      </c>
      <c r="G98" s="641">
        <f t="shared" si="60"/>
        <v>0</v>
      </c>
      <c r="H98" s="642">
        <f t="shared" si="60"/>
        <v>0</v>
      </c>
      <c r="I98" s="644">
        <f t="shared" si="58"/>
        <v>0</v>
      </c>
      <c r="J98" s="640">
        <f t="shared" si="61"/>
        <v>0</v>
      </c>
      <c r="K98" s="641">
        <f t="shared" si="61"/>
        <v>0</v>
      </c>
      <c r="L98" s="642">
        <f t="shared" si="61"/>
        <v>0</v>
      </c>
      <c r="M98" s="643">
        <f t="shared" si="61"/>
        <v>0</v>
      </c>
      <c r="N98" s="644">
        <f t="shared" si="51"/>
        <v>0</v>
      </c>
      <c r="O98" s="643">
        <f>IFERROR($D98*O119/100, 0)</f>
        <v>0</v>
      </c>
      <c r="P98" s="642">
        <f t="shared" si="61"/>
        <v>0</v>
      </c>
      <c r="Q98" s="645">
        <f t="shared" si="61"/>
        <v>0</v>
      </c>
      <c r="R98" s="131" t="s">
        <v>1314</v>
      </c>
      <c r="S98" s="131"/>
      <c r="T98" s="131"/>
      <c r="U98" s="131"/>
    </row>
    <row r="99" spans="1:21">
      <c r="A99" s="608"/>
      <c r="B99" s="630" t="s">
        <v>164</v>
      </c>
      <c r="C99" s="646" t="s">
        <v>13</v>
      </c>
      <c r="D99" s="632">
        <f>SUM(D100:D103)</f>
        <v>68.286046469387756</v>
      </c>
      <c r="E99" s="633">
        <f t="shared" si="62"/>
        <v>19.466720537917265</v>
      </c>
      <c r="F99" s="634">
        <f>SUM(F100:F103)</f>
        <v>3.8734934976380542</v>
      </c>
      <c r="G99" s="635">
        <f>SUM(G100:G103)</f>
        <v>3.2076675271734292</v>
      </c>
      <c r="H99" s="636">
        <f>SUM(H100:H103)</f>
        <v>12.385559513105783</v>
      </c>
      <c r="I99" s="632">
        <f t="shared" si="58"/>
        <v>44.334131173320927</v>
      </c>
      <c r="J99" s="634">
        <f t="shared" ref="J99:Q99" si="63">SUM(J100:J103)</f>
        <v>20.618633596209378</v>
      </c>
      <c r="K99" s="635">
        <f t="shared" si="63"/>
        <v>17.722853202879442</v>
      </c>
      <c r="L99" s="636">
        <f t="shared" si="63"/>
        <v>5.9926443742321078</v>
      </c>
      <c r="M99" s="637">
        <f t="shared" si="63"/>
        <v>0.22723084680392897</v>
      </c>
      <c r="N99" s="632">
        <f t="shared" si="51"/>
        <v>2.3485252960456671</v>
      </c>
      <c r="O99" s="637">
        <f>SUM(O100:O103)</f>
        <v>2.3485252960456671</v>
      </c>
      <c r="P99" s="636">
        <f t="shared" si="63"/>
        <v>0</v>
      </c>
      <c r="Q99" s="633">
        <f t="shared" si="63"/>
        <v>1.9094386152999758</v>
      </c>
      <c r="S99" s="131"/>
      <c r="T99" s="131"/>
      <c r="U99" s="131"/>
    </row>
    <row r="100" spans="1:21">
      <c r="A100" s="608"/>
      <c r="B100" s="638" t="s">
        <v>493</v>
      </c>
      <c r="C100" s="639" t="s">
        <v>15</v>
      </c>
      <c r="D100" s="717">
        <v>64.986868999999999</v>
      </c>
      <c r="E100" s="645">
        <f t="shared" si="62"/>
        <v>18.526203856660054</v>
      </c>
      <c r="F100" s="640">
        <f t="shared" ref="F100:H103" si="64">IFERROR($D100*F120/100, 0)</f>
        <v>3.6863492253311732</v>
      </c>
      <c r="G100" s="641">
        <f t="shared" si="64"/>
        <v>3.0526920236541053</v>
      </c>
      <c r="H100" s="642">
        <f t="shared" si="64"/>
        <v>11.787162607674773</v>
      </c>
      <c r="I100" s="644">
        <f t="shared" si="58"/>
        <v>42.192168440751949</v>
      </c>
      <c r="J100" s="640">
        <f t="shared" ref="J100:Q103" si="65">IFERROR($D100*J120/100, 0)</f>
        <v>19.622463296019713</v>
      </c>
      <c r="K100" s="641">
        <f t="shared" si="65"/>
        <v>16.866589866468267</v>
      </c>
      <c r="L100" s="642">
        <f t="shared" si="65"/>
        <v>5.7031152782639731</v>
      </c>
      <c r="M100" s="643">
        <f t="shared" si="65"/>
        <v>0.21625239763479309</v>
      </c>
      <c r="N100" s="644">
        <f t="shared" si="51"/>
        <v>2.2350584584762299</v>
      </c>
      <c r="O100" s="643">
        <f>IFERROR($D100*O120/100, 0)</f>
        <v>2.2350584584762299</v>
      </c>
      <c r="P100" s="642">
        <f t="shared" si="65"/>
        <v>0</v>
      </c>
      <c r="Q100" s="645">
        <f t="shared" si="65"/>
        <v>1.8171858464769821</v>
      </c>
      <c r="R100" s="131" t="s">
        <v>1316</v>
      </c>
      <c r="S100" s="131"/>
      <c r="T100" s="131"/>
      <c r="U100" s="131"/>
    </row>
    <row r="101" spans="1:21">
      <c r="A101" s="608"/>
      <c r="B101" s="638" t="s">
        <v>494</v>
      </c>
      <c r="C101" s="639" t="s">
        <v>589</v>
      </c>
      <c r="D101" s="717">
        <v>0</v>
      </c>
      <c r="E101" s="645">
        <f t="shared" si="62"/>
        <v>0</v>
      </c>
      <c r="F101" s="640">
        <f t="shared" si="64"/>
        <v>0</v>
      </c>
      <c r="G101" s="641">
        <f t="shared" si="64"/>
        <v>0</v>
      </c>
      <c r="H101" s="642">
        <f t="shared" si="64"/>
        <v>0</v>
      </c>
      <c r="I101" s="644">
        <f t="shared" si="58"/>
        <v>0</v>
      </c>
      <c r="J101" s="640">
        <f t="shared" si="65"/>
        <v>0</v>
      </c>
      <c r="K101" s="641">
        <f t="shared" si="65"/>
        <v>0</v>
      </c>
      <c r="L101" s="642">
        <f t="shared" si="65"/>
        <v>0</v>
      </c>
      <c r="M101" s="643">
        <f t="shared" si="65"/>
        <v>0</v>
      </c>
      <c r="N101" s="644">
        <f t="shared" si="51"/>
        <v>0</v>
      </c>
      <c r="O101" s="643">
        <f>IFERROR($D101*O121/100, 0)</f>
        <v>0</v>
      </c>
      <c r="P101" s="642">
        <f t="shared" si="65"/>
        <v>0</v>
      </c>
      <c r="Q101" s="645">
        <f t="shared" si="65"/>
        <v>0</v>
      </c>
      <c r="R101" s="507" t="s">
        <v>1353</v>
      </c>
      <c r="S101" s="507" t="s">
        <v>1354</v>
      </c>
      <c r="T101" s="507" t="s">
        <v>1355</v>
      </c>
      <c r="U101" s="507" t="s">
        <v>1356</v>
      </c>
    </row>
    <row r="102" spans="1:21">
      <c r="A102" s="608"/>
      <c r="B102" s="638" t="s">
        <v>638</v>
      </c>
      <c r="C102" s="639" t="s">
        <v>21</v>
      </c>
      <c r="D102" s="717">
        <v>0</v>
      </c>
      <c r="E102" s="645">
        <f t="shared" si="62"/>
        <v>0</v>
      </c>
      <c r="F102" s="640">
        <f t="shared" si="64"/>
        <v>0</v>
      </c>
      <c r="G102" s="641">
        <f t="shared" si="64"/>
        <v>0</v>
      </c>
      <c r="H102" s="642">
        <f t="shared" si="64"/>
        <v>0</v>
      </c>
      <c r="I102" s="644">
        <f t="shared" si="58"/>
        <v>0</v>
      </c>
      <c r="J102" s="640">
        <f t="shared" si="65"/>
        <v>0</v>
      </c>
      <c r="K102" s="641">
        <f t="shared" si="65"/>
        <v>0</v>
      </c>
      <c r="L102" s="642">
        <f t="shared" si="65"/>
        <v>0</v>
      </c>
      <c r="M102" s="643">
        <f t="shared" si="65"/>
        <v>0</v>
      </c>
      <c r="N102" s="644">
        <f t="shared" si="51"/>
        <v>0</v>
      </c>
      <c r="O102" s="643">
        <f>IFERROR($D102*O122/100, 0)</f>
        <v>0</v>
      </c>
      <c r="P102" s="642">
        <f t="shared" si="65"/>
        <v>0</v>
      </c>
      <c r="Q102" s="645">
        <f t="shared" si="65"/>
        <v>0</v>
      </c>
      <c r="R102" s="507" t="s">
        <v>1320</v>
      </c>
      <c r="S102" s="131"/>
      <c r="T102" s="131"/>
      <c r="U102" s="131"/>
    </row>
    <row r="103" spans="1:21">
      <c r="A103" s="608"/>
      <c r="B103" s="638" t="s">
        <v>639</v>
      </c>
      <c r="C103" s="639" t="s">
        <v>640</v>
      </c>
      <c r="D103" s="717">
        <v>3.2991774693877547</v>
      </c>
      <c r="E103" s="645">
        <f t="shared" si="62"/>
        <v>0.94051668125721477</v>
      </c>
      <c r="F103" s="640">
        <f t="shared" si="64"/>
        <v>0.1871442723068811</v>
      </c>
      <c r="G103" s="641">
        <f t="shared" si="64"/>
        <v>0.15497550351932379</v>
      </c>
      <c r="H103" s="642">
        <f t="shared" si="64"/>
        <v>0.59839690543100987</v>
      </c>
      <c r="I103" s="644">
        <f t="shared" si="58"/>
        <v>2.1419627325689738</v>
      </c>
      <c r="J103" s="640">
        <f t="shared" si="65"/>
        <v>0.99617030018966479</v>
      </c>
      <c r="K103" s="641">
        <f t="shared" si="65"/>
        <v>0.85626333641117458</v>
      </c>
      <c r="L103" s="642">
        <f t="shared" si="65"/>
        <v>0.28952909596813436</v>
      </c>
      <c r="M103" s="643">
        <f t="shared" si="65"/>
        <v>1.0978449169135865E-2</v>
      </c>
      <c r="N103" s="644">
        <f t="shared" si="51"/>
        <v>0.11346683756943735</v>
      </c>
      <c r="O103" s="643">
        <f>IFERROR($D103*O123/100, 0)</f>
        <v>0.11346683756943735</v>
      </c>
      <c r="P103" s="642">
        <f t="shared" si="65"/>
        <v>0</v>
      </c>
      <c r="Q103" s="645">
        <f t="shared" si="65"/>
        <v>9.2252768822993686E-2</v>
      </c>
      <c r="R103" s="507" t="s">
        <v>1322</v>
      </c>
      <c r="S103" s="131"/>
      <c r="T103" s="131"/>
      <c r="U103" s="131"/>
    </row>
    <row r="104" spans="1:21">
      <c r="A104" s="608"/>
      <c r="B104" s="630" t="s">
        <v>166</v>
      </c>
      <c r="C104" s="647" t="s">
        <v>25</v>
      </c>
      <c r="D104" s="632">
        <f>D105</f>
        <v>0</v>
      </c>
      <c r="E104" s="633">
        <f t="shared" si="62"/>
        <v>0</v>
      </c>
      <c r="F104" s="634">
        <f>F105</f>
        <v>0</v>
      </c>
      <c r="G104" s="635">
        <f>G105</f>
        <v>0</v>
      </c>
      <c r="H104" s="636">
        <f>H105</f>
        <v>0</v>
      </c>
      <c r="I104" s="632">
        <f t="shared" si="58"/>
        <v>0</v>
      </c>
      <c r="J104" s="634">
        <f t="shared" ref="J104:Q104" si="66">J105</f>
        <v>0</v>
      </c>
      <c r="K104" s="635">
        <f t="shared" si="66"/>
        <v>0</v>
      </c>
      <c r="L104" s="636">
        <f t="shared" si="66"/>
        <v>0</v>
      </c>
      <c r="M104" s="637">
        <f t="shared" si="66"/>
        <v>0</v>
      </c>
      <c r="N104" s="632">
        <f t="shared" si="51"/>
        <v>0</v>
      </c>
      <c r="O104" s="637">
        <f>O105</f>
        <v>0</v>
      </c>
      <c r="P104" s="636">
        <f t="shared" si="66"/>
        <v>0</v>
      </c>
      <c r="Q104" s="633">
        <f t="shared" si="66"/>
        <v>0</v>
      </c>
      <c r="S104" s="131"/>
      <c r="T104" s="131"/>
      <c r="U104" s="131"/>
    </row>
    <row r="105" spans="1:21">
      <c r="A105" s="608"/>
      <c r="B105" s="638" t="s">
        <v>495</v>
      </c>
      <c r="C105" s="648" t="s">
        <v>641</v>
      </c>
      <c r="D105" s="717">
        <v>0</v>
      </c>
      <c r="E105" s="645">
        <f t="shared" si="62"/>
        <v>0</v>
      </c>
      <c r="F105" s="640">
        <f>IFERROR($D105*F124/100, 0)</f>
        <v>0</v>
      </c>
      <c r="G105" s="641">
        <f>IFERROR($D105*G124/100, 0)</f>
        <v>0</v>
      </c>
      <c r="H105" s="642">
        <f>IFERROR($D105*H124/100, 0)</f>
        <v>0</v>
      </c>
      <c r="I105" s="644">
        <f t="shared" si="58"/>
        <v>0</v>
      </c>
      <c r="J105" s="640">
        <f t="shared" ref="J105:Q105" si="67">IFERROR($D105*J124/100, 0)</f>
        <v>0</v>
      </c>
      <c r="K105" s="641">
        <f t="shared" si="67"/>
        <v>0</v>
      </c>
      <c r="L105" s="642">
        <f t="shared" si="67"/>
        <v>0</v>
      </c>
      <c r="M105" s="643">
        <f t="shared" si="67"/>
        <v>0</v>
      </c>
      <c r="N105" s="644">
        <f t="shared" si="51"/>
        <v>0</v>
      </c>
      <c r="O105" s="643">
        <f>IFERROR($D105*O124/100, 0)</f>
        <v>0</v>
      </c>
      <c r="P105" s="642">
        <f t="shared" si="67"/>
        <v>0</v>
      </c>
      <c r="Q105" s="645">
        <f t="shared" si="67"/>
        <v>0</v>
      </c>
      <c r="R105" s="507" t="s">
        <v>1324</v>
      </c>
      <c r="S105" s="131"/>
      <c r="T105" s="131"/>
      <c r="U105" s="131"/>
    </row>
    <row r="106" spans="1:21">
      <c r="A106" s="608"/>
      <c r="B106" s="630" t="s">
        <v>168</v>
      </c>
      <c r="C106" s="647" t="s">
        <v>31</v>
      </c>
      <c r="D106" s="632">
        <f>D107+D108</f>
        <v>0</v>
      </c>
      <c r="E106" s="633">
        <f t="shared" si="62"/>
        <v>0</v>
      </c>
      <c r="F106" s="634">
        <f>F107+F108</f>
        <v>0</v>
      </c>
      <c r="G106" s="635">
        <f>G107+G108</f>
        <v>0</v>
      </c>
      <c r="H106" s="636">
        <f>H107+H108</f>
        <v>0</v>
      </c>
      <c r="I106" s="632">
        <f t="shared" si="58"/>
        <v>0</v>
      </c>
      <c r="J106" s="634">
        <f t="shared" ref="J106:Q106" si="68">J107+J108</f>
        <v>0</v>
      </c>
      <c r="K106" s="635">
        <f t="shared" si="68"/>
        <v>0</v>
      </c>
      <c r="L106" s="636">
        <f t="shared" si="68"/>
        <v>0</v>
      </c>
      <c r="M106" s="637">
        <f t="shared" si="68"/>
        <v>0</v>
      </c>
      <c r="N106" s="632">
        <f t="shared" si="51"/>
        <v>0</v>
      </c>
      <c r="O106" s="637">
        <f>O107+O108</f>
        <v>0</v>
      </c>
      <c r="P106" s="636">
        <f t="shared" si="68"/>
        <v>0</v>
      </c>
      <c r="Q106" s="633">
        <f t="shared" si="68"/>
        <v>0</v>
      </c>
      <c r="R106" s="507"/>
      <c r="S106" s="131"/>
      <c r="T106" s="131"/>
      <c r="U106" s="131"/>
    </row>
    <row r="107" spans="1:21">
      <c r="A107" s="608"/>
      <c r="B107" s="649" t="s">
        <v>496</v>
      </c>
      <c r="C107" s="648" t="s">
        <v>594</v>
      </c>
      <c r="D107" s="717">
        <v>0</v>
      </c>
      <c r="E107" s="645">
        <f t="shared" si="62"/>
        <v>0</v>
      </c>
      <c r="F107" s="640">
        <f t="shared" ref="F107:H108" si="69">IFERROR($D107*F125/100, 0)</f>
        <v>0</v>
      </c>
      <c r="G107" s="641">
        <f t="shared" si="69"/>
        <v>0</v>
      </c>
      <c r="H107" s="642">
        <f t="shared" si="69"/>
        <v>0</v>
      </c>
      <c r="I107" s="644">
        <f t="shared" si="58"/>
        <v>0</v>
      </c>
      <c r="J107" s="640">
        <f t="shared" ref="J107:Q108" si="70">IFERROR($D107*J125/100, 0)</f>
        <v>0</v>
      </c>
      <c r="K107" s="641">
        <f t="shared" si="70"/>
        <v>0</v>
      </c>
      <c r="L107" s="642">
        <f t="shared" si="70"/>
        <v>0</v>
      </c>
      <c r="M107" s="643">
        <f t="shared" si="70"/>
        <v>0</v>
      </c>
      <c r="N107" s="644">
        <f t="shared" si="51"/>
        <v>0</v>
      </c>
      <c r="O107" s="643">
        <f>IFERROR($D107*O125/100, 0)</f>
        <v>0</v>
      </c>
      <c r="P107" s="642">
        <f t="shared" si="70"/>
        <v>0</v>
      </c>
      <c r="Q107" s="645">
        <f t="shared" si="70"/>
        <v>0</v>
      </c>
      <c r="R107" s="507" t="s">
        <v>1328</v>
      </c>
      <c r="S107" s="131"/>
      <c r="T107" s="131"/>
      <c r="U107" s="131"/>
    </row>
    <row r="108" spans="1:21" ht="27">
      <c r="A108" s="608"/>
      <c r="B108" s="649" t="s">
        <v>497</v>
      </c>
      <c r="C108" s="701" t="s">
        <v>596</v>
      </c>
      <c r="D108" s="717">
        <v>0</v>
      </c>
      <c r="E108" s="645">
        <f t="shared" si="62"/>
        <v>0</v>
      </c>
      <c r="F108" s="640">
        <f t="shared" si="69"/>
        <v>0</v>
      </c>
      <c r="G108" s="641">
        <f t="shared" si="69"/>
        <v>0</v>
      </c>
      <c r="H108" s="642">
        <f t="shared" si="69"/>
        <v>0</v>
      </c>
      <c r="I108" s="644">
        <f t="shared" si="58"/>
        <v>0</v>
      </c>
      <c r="J108" s="640">
        <f t="shared" si="70"/>
        <v>0</v>
      </c>
      <c r="K108" s="641">
        <f t="shared" si="70"/>
        <v>0</v>
      </c>
      <c r="L108" s="642">
        <f t="shared" si="70"/>
        <v>0</v>
      </c>
      <c r="M108" s="643">
        <f t="shared" si="70"/>
        <v>0</v>
      </c>
      <c r="N108" s="644">
        <f t="shared" si="51"/>
        <v>0</v>
      </c>
      <c r="O108" s="643">
        <f>IFERROR($D108*O126/100, 0)</f>
        <v>0</v>
      </c>
      <c r="P108" s="642">
        <f t="shared" si="70"/>
        <v>0</v>
      </c>
      <c r="Q108" s="645">
        <f t="shared" si="70"/>
        <v>0</v>
      </c>
      <c r="R108" s="507" t="s">
        <v>1330</v>
      </c>
      <c r="S108" s="131"/>
      <c r="T108" s="131"/>
      <c r="U108" s="131"/>
    </row>
    <row r="109" spans="1:21">
      <c r="A109" s="608"/>
      <c r="B109" s="630" t="s">
        <v>170</v>
      </c>
      <c r="C109" s="658" t="s">
        <v>37</v>
      </c>
      <c r="D109" s="659">
        <f>D110+D111</f>
        <v>0</v>
      </c>
      <c r="E109" s="660">
        <f t="shared" si="62"/>
        <v>0</v>
      </c>
      <c r="F109" s="661">
        <f>F110+F111</f>
        <v>0</v>
      </c>
      <c r="G109" s="662">
        <f>G110+G111</f>
        <v>0</v>
      </c>
      <c r="H109" s="663">
        <f>H110+H111</f>
        <v>0</v>
      </c>
      <c r="I109" s="664">
        <f t="shared" si="58"/>
        <v>0</v>
      </c>
      <c r="J109" s="661">
        <f t="shared" ref="J109:Q109" si="71">J110+J111</f>
        <v>0</v>
      </c>
      <c r="K109" s="662">
        <f t="shared" si="71"/>
        <v>0</v>
      </c>
      <c r="L109" s="663">
        <f t="shared" si="71"/>
        <v>0</v>
      </c>
      <c r="M109" s="665">
        <f t="shared" si="71"/>
        <v>0</v>
      </c>
      <c r="N109" s="664">
        <f t="shared" si="51"/>
        <v>0</v>
      </c>
      <c r="O109" s="665">
        <f>O110+O111</f>
        <v>0</v>
      </c>
      <c r="P109" s="663">
        <f t="shared" si="71"/>
        <v>0</v>
      </c>
      <c r="Q109" s="660">
        <f t="shared" si="71"/>
        <v>0</v>
      </c>
      <c r="R109" s="507"/>
      <c r="S109" s="131"/>
      <c r="T109" s="131"/>
      <c r="U109" s="131"/>
    </row>
    <row r="110" spans="1:21">
      <c r="A110" s="608"/>
      <c r="B110" s="666" t="s">
        <v>642</v>
      </c>
      <c r="C110" s="667" t="s">
        <v>39</v>
      </c>
      <c r="D110" s="718">
        <v>0</v>
      </c>
      <c r="E110" s="645">
        <f t="shared" si="62"/>
        <v>0</v>
      </c>
      <c r="F110" s="640">
        <f t="shared" ref="F110:H111" si="72">IFERROR($D110*F127/100, 0)</f>
        <v>0</v>
      </c>
      <c r="G110" s="641">
        <f t="shared" si="72"/>
        <v>0</v>
      </c>
      <c r="H110" s="642">
        <f t="shared" si="72"/>
        <v>0</v>
      </c>
      <c r="I110" s="644">
        <f t="shared" si="58"/>
        <v>0</v>
      </c>
      <c r="J110" s="640">
        <f t="shared" ref="J110:Q111" si="73">IFERROR($D110*J127/100, 0)</f>
        <v>0</v>
      </c>
      <c r="K110" s="641">
        <f t="shared" si="73"/>
        <v>0</v>
      </c>
      <c r="L110" s="642">
        <f t="shared" si="73"/>
        <v>0</v>
      </c>
      <c r="M110" s="643">
        <f t="shared" si="73"/>
        <v>0</v>
      </c>
      <c r="N110" s="644">
        <f t="shared" si="51"/>
        <v>0</v>
      </c>
      <c r="O110" s="643">
        <f>IFERROR($D110*O127/100, 0)</f>
        <v>0</v>
      </c>
      <c r="P110" s="642">
        <f t="shared" si="73"/>
        <v>0</v>
      </c>
      <c r="Q110" s="645">
        <f t="shared" si="73"/>
        <v>0</v>
      </c>
      <c r="R110" s="131" t="s">
        <v>1332</v>
      </c>
      <c r="S110" s="131"/>
      <c r="T110" s="131"/>
      <c r="U110" s="131"/>
    </row>
    <row r="111" spans="1:21">
      <c r="A111" s="608"/>
      <c r="B111" s="666" t="s">
        <v>643</v>
      </c>
      <c r="C111" s="675" t="s">
        <v>644</v>
      </c>
      <c r="D111" s="719">
        <v>0</v>
      </c>
      <c r="E111" s="645">
        <f t="shared" si="62"/>
        <v>0</v>
      </c>
      <c r="F111" s="640">
        <f t="shared" si="72"/>
        <v>0</v>
      </c>
      <c r="G111" s="641">
        <f t="shared" si="72"/>
        <v>0</v>
      </c>
      <c r="H111" s="642">
        <f t="shared" si="72"/>
        <v>0</v>
      </c>
      <c r="I111" s="644">
        <f t="shared" si="58"/>
        <v>0</v>
      </c>
      <c r="J111" s="640">
        <f t="shared" si="73"/>
        <v>0</v>
      </c>
      <c r="K111" s="641">
        <f t="shared" si="73"/>
        <v>0</v>
      </c>
      <c r="L111" s="642">
        <f t="shared" si="73"/>
        <v>0</v>
      </c>
      <c r="M111" s="643">
        <f t="shared" si="73"/>
        <v>0</v>
      </c>
      <c r="N111" s="644">
        <f t="shared" si="51"/>
        <v>0</v>
      </c>
      <c r="O111" s="643">
        <f>IFERROR($D111*O128/100, 0)</f>
        <v>0</v>
      </c>
      <c r="P111" s="642">
        <f t="shared" si="73"/>
        <v>0</v>
      </c>
      <c r="Q111" s="645">
        <f t="shared" si="73"/>
        <v>0</v>
      </c>
      <c r="R111" s="131" t="s">
        <v>1334</v>
      </c>
      <c r="S111" s="131"/>
      <c r="T111" s="131"/>
      <c r="U111" s="131"/>
    </row>
    <row r="112" spans="1:21">
      <c r="A112" s="608"/>
      <c r="B112" s="677" t="s">
        <v>172</v>
      </c>
      <c r="C112" s="678" t="s">
        <v>597</v>
      </c>
      <c r="D112" s="659">
        <f>D113+D114+D115</f>
        <v>0</v>
      </c>
      <c r="E112" s="660">
        <f t="shared" ref="E112:Q112" si="74">E113+E114+E115</f>
        <v>0</v>
      </c>
      <c r="F112" s="661">
        <f t="shared" si="74"/>
        <v>0</v>
      </c>
      <c r="G112" s="662">
        <f t="shared" si="74"/>
        <v>0</v>
      </c>
      <c r="H112" s="663">
        <f t="shared" si="74"/>
        <v>0</v>
      </c>
      <c r="I112" s="664">
        <f t="shared" si="74"/>
        <v>0</v>
      </c>
      <c r="J112" s="661">
        <f t="shared" si="74"/>
        <v>0</v>
      </c>
      <c r="K112" s="662">
        <f t="shared" si="74"/>
        <v>0</v>
      </c>
      <c r="L112" s="663">
        <f t="shared" si="74"/>
        <v>0</v>
      </c>
      <c r="M112" s="665">
        <f t="shared" si="74"/>
        <v>0</v>
      </c>
      <c r="N112" s="664">
        <f t="shared" si="51"/>
        <v>0</v>
      </c>
      <c r="O112" s="665">
        <f>O113+O114+O115</f>
        <v>0</v>
      </c>
      <c r="P112" s="663">
        <f t="shared" si="74"/>
        <v>0</v>
      </c>
      <c r="Q112" s="660">
        <f t="shared" si="74"/>
        <v>0</v>
      </c>
      <c r="S112" s="131"/>
      <c r="T112" s="131"/>
      <c r="U112" s="131"/>
    </row>
    <row r="113" spans="1:21">
      <c r="A113" s="608"/>
      <c r="B113" s="679" t="s">
        <v>501</v>
      </c>
      <c r="C113" s="675" t="s">
        <v>1352</v>
      </c>
      <c r="D113" s="719">
        <v>0</v>
      </c>
      <c r="E113" s="645">
        <f>SUM(F113:H113)</f>
        <v>0</v>
      </c>
      <c r="F113" s="640">
        <f t="shared" ref="F113:H115" si="75">IFERROR($D113*F129/100, 0)</f>
        <v>0</v>
      </c>
      <c r="G113" s="641">
        <f t="shared" si="75"/>
        <v>0</v>
      </c>
      <c r="H113" s="642">
        <f t="shared" si="75"/>
        <v>0</v>
      </c>
      <c r="I113" s="644">
        <f t="shared" si="58"/>
        <v>0</v>
      </c>
      <c r="J113" s="640">
        <f t="shared" ref="J113:Q115" si="76">IFERROR($D113*J129/100, 0)</f>
        <v>0</v>
      </c>
      <c r="K113" s="641">
        <f t="shared" si="76"/>
        <v>0</v>
      </c>
      <c r="L113" s="642">
        <f t="shared" si="76"/>
        <v>0</v>
      </c>
      <c r="M113" s="643">
        <f t="shared" si="76"/>
        <v>0</v>
      </c>
      <c r="N113" s="644">
        <f t="shared" si="51"/>
        <v>0</v>
      </c>
      <c r="O113" s="643">
        <f>IFERROR($D113*O129/100, 0)</f>
        <v>0</v>
      </c>
      <c r="P113" s="642">
        <f t="shared" si="76"/>
        <v>0</v>
      </c>
      <c r="Q113" s="645">
        <f t="shared" si="76"/>
        <v>0</v>
      </c>
      <c r="R113" s="131" t="s">
        <v>1336</v>
      </c>
      <c r="S113" s="131"/>
      <c r="T113" s="131"/>
      <c r="U113" s="131"/>
    </row>
    <row r="114" spans="1:21">
      <c r="A114" s="608"/>
      <c r="B114" s="666" t="s">
        <v>502</v>
      </c>
      <c r="C114" s="675" t="s">
        <v>1352</v>
      </c>
      <c r="D114" s="719">
        <v>0</v>
      </c>
      <c r="E114" s="645">
        <f>SUM(F114:H114)</f>
        <v>0</v>
      </c>
      <c r="F114" s="640">
        <f t="shared" si="75"/>
        <v>0</v>
      </c>
      <c r="G114" s="641">
        <f t="shared" si="75"/>
        <v>0</v>
      </c>
      <c r="H114" s="642">
        <f t="shared" si="75"/>
        <v>0</v>
      </c>
      <c r="I114" s="644">
        <f t="shared" si="58"/>
        <v>0</v>
      </c>
      <c r="J114" s="640">
        <f t="shared" si="76"/>
        <v>0</v>
      </c>
      <c r="K114" s="641">
        <f t="shared" si="76"/>
        <v>0</v>
      </c>
      <c r="L114" s="642">
        <f t="shared" si="76"/>
        <v>0</v>
      </c>
      <c r="M114" s="643">
        <f t="shared" si="76"/>
        <v>0</v>
      </c>
      <c r="N114" s="644">
        <f t="shared" si="51"/>
        <v>0</v>
      </c>
      <c r="O114" s="643">
        <f>IFERROR($D114*O130/100, 0)</f>
        <v>0</v>
      </c>
      <c r="P114" s="642">
        <f t="shared" si="76"/>
        <v>0</v>
      </c>
      <c r="Q114" s="645">
        <f t="shared" si="76"/>
        <v>0</v>
      </c>
      <c r="R114" s="131" t="s">
        <v>1338</v>
      </c>
      <c r="S114" s="131"/>
      <c r="T114" s="131"/>
      <c r="U114" s="131"/>
    </row>
    <row r="115" spans="1:21" ht="15" thickBot="1">
      <c r="A115" s="608"/>
      <c r="B115" s="720" t="s">
        <v>503</v>
      </c>
      <c r="C115" s="681" t="s">
        <v>1352</v>
      </c>
      <c r="D115" s="717">
        <v>0</v>
      </c>
      <c r="E115" s="645">
        <f>SUM(F115:H115)</f>
        <v>0</v>
      </c>
      <c r="F115" s="640">
        <f t="shared" si="75"/>
        <v>0</v>
      </c>
      <c r="G115" s="641">
        <f t="shared" si="75"/>
        <v>0</v>
      </c>
      <c r="H115" s="642">
        <f t="shared" si="75"/>
        <v>0</v>
      </c>
      <c r="I115" s="644">
        <f t="shared" si="58"/>
        <v>0</v>
      </c>
      <c r="J115" s="640">
        <f t="shared" si="76"/>
        <v>0</v>
      </c>
      <c r="K115" s="641">
        <f t="shared" si="76"/>
        <v>0</v>
      </c>
      <c r="L115" s="642">
        <f t="shared" si="76"/>
        <v>0</v>
      </c>
      <c r="M115" s="643">
        <f t="shared" si="76"/>
        <v>0</v>
      </c>
      <c r="N115" s="644">
        <f t="shared" si="51"/>
        <v>0</v>
      </c>
      <c r="O115" s="643">
        <f>IFERROR($D115*O131/100, 0)</f>
        <v>0</v>
      </c>
      <c r="P115" s="642">
        <f t="shared" si="76"/>
        <v>0</v>
      </c>
      <c r="Q115" s="645">
        <f t="shared" si="76"/>
        <v>0</v>
      </c>
      <c r="R115" s="131" t="s">
        <v>1340</v>
      </c>
      <c r="S115" s="131"/>
      <c r="T115" s="131"/>
      <c r="U115" s="131"/>
    </row>
    <row r="116" spans="1:21" ht="66.599999999999994" thickBot="1">
      <c r="A116" s="608"/>
      <c r="B116" s="727" t="s">
        <v>76</v>
      </c>
      <c r="C116" s="612" t="s">
        <v>645</v>
      </c>
      <c r="D116" s="612" t="s">
        <v>246</v>
      </c>
      <c r="E116" s="613" t="s">
        <v>247</v>
      </c>
      <c r="F116" s="614" t="s">
        <v>248</v>
      </c>
      <c r="G116" s="615" t="s">
        <v>249</v>
      </c>
      <c r="H116" s="616" t="s">
        <v>250</v>
      </c>
      <c r="I116" s="612" t="s">
        <v>251</v>
      </c>
      <c r="J116" s="614" t="s">
        <v>252</v>
      </c>
      <c r="K116" s="615" t="s">
        <v>253</v>
      </c>
      <c r="L116" s="616" t="s">
        <v>254</v>
      </c>
      <c r="M116" s="618" t="s">
        <v>255</v>
      </c>
      <c r="N116" s="619" t="s">
        <v>256</v>
      </c>
      <c r="O116" s="614" t="s">
        <v>586</v>
      </c>
      <c r="P116" s="616" t="s">
        <v>258</v>
      </c>
      <c r="Q116" s="621" t="s">
        <v>259</v>
      </c>
      <c r="S116" s="131"/>
      <c r="T116" s="131"/>
      <c r="U116" s="131"/>
    </row>
    <row r="117" spans="1:21" s="130" customFormat="1">
      <c r="A117" s="608"/>
      <c r="B117" s="863" t="s">
        <v>205</v>
      </c>
      <c r="C117" s="729" t="s">
        <v>646</v>
      </c>
      <c r="D117" s="730">
        <f t="shared" ref="D117:D132" si="77">O117+E117+I117+M117+P117+Q117</f>
        <v>100.00000000000003</v>
      </c>
      <c r="E117" s="731">
        <f t="shared" ref="E117:E132" si="78">SUM(F117:H117)</f>
        <v>28.507611063182704</v>
      </c>
      <c r="F117" s="886">
        <f>'4'!F$235</f>
        <v>5.672452423167476</v>
      </c>
      <c r="G117" s="887">
        <f>'4'!G$235</f>
        <v>4.6973982138670278</v>
      </c>
      <c r="H117" s="888">
        <f>'4'!H$235</f>
        <v>18.137760426148201</v>
      </c>
      <c r="I117" s="735">
        <f t="shared" ref="I117:I132" si="79">SUM(J117:L117)</f>
        <v>64.924144046317963</v>
      </c>
      <c r="J117" s="886">
        <f>'4'!J$235</f>
        <v>30.194504825305113</v>
      </c>
      <c r="K117" s="887">
        <f>'4'!K$235</f>
        <v>25.953842870116222</v>
      </c>
      <c r="L117" s="888">
        <f>'4'!L$235</f>
        <v>8.7757963508966306</v>
      </c>
      <c r="M117" s="889">
        <f>'4'!M$235</f>
        <v>0.33276321965102384</v>
      </c>
      <c r="N117" s="737">
        <f t="shared" si="51"/>
        <v>3.439246255233853</v>
      </c>
      <c r="O117" s="890">
        <f>'4'!O$235</f>
        <v>3.439246255233853</v>
      </c>
      <c r="P117" s="888">
        <f>'4'!P$235</f>
        <v>0</v>
      </c>
      <c r="Q117" s="737">
        <f>'4'!Q$235</f>
        <v>2.7962354156144715</v>
      </c>
      <c r="R117" s="131"/>
      <c r="S117" s="131"/>
      <c r="T117" s="131"/>
      <c r="U117" s="131"/>
    </row>
    <row r="118" spans="1:21" s="130" customFormat="1">
      <c r="A118" s="608"/>
      <c r="B118" s="864" t="s">
        <v>207</v>
      </c>
      <c r="C118" s="741" t="s">
        <v>647</v>
      </c>
      <c r="D118" s="742">
        <f t="shared" si="77"/>
        <v>100.00000000000003</v>
      </c>
      <c r="E118" s="743">
        <f t="shared" si="78"/>
        <v>28.507611063182704</v>
      </c>
      <c r="F118" s="891">
        <f>'4'!F$235</f>
        <v>5.672452423167476</v>
      </c>
      <c r="G118" s="892">
        <f>'4'!G$235</f>
        <v>4.6973982138670278</v>
      </c>
      <c r="H118" s="893">
        <f>'4'!H$235</f>
        <v>18.137760426148201</v>
      </c>
      <c r="I118" s="747">
        <f t="shared" si="79"/>
        <v>64.924144046317963</v>
      </c>
      <c r="J118" s="891">
        <f>'4'!J$235</f>
        <v>30.194504825305113</v>
      </c>
      <c r="K118" s="892">
        <f>'4'!K$235</f>
        <v>25.953842870116222</v>
      </c>
      <c r="L118" s="893">
        <f>'4'!L$235</f>
        <v>8.7757963508966306</v>
      </c>
      <c r="M118" s="894">
        <f>'4'!M$235</f>
        <v>0.33276321965102384</v>
      </c>
      <c r="N118" s="737">
        <f t="shared" si="51"/>
        <v>3.439246255233853</v>
      </c>
      <c r="O118" s="890">
        <f>'4'!O$235</f>
        <v>3.439246255233853</v>
      </c>
      <c r="P118" s="893">
        <f>'4'!P$235</f>
        <v>0</v>
      </c>
      <c r="Q118" s="749">
        <f>'4'!Q$235</f>
        <v>2.7962354156144715</v>
      </c>
      <c r="R118" s="131"/>
      <c r="S118" s="131"/>
      <c r="T118" s="131"/>
      <c r="U118" s="131"/>
    </row>
    <row r="119" spans="1:21" s="130" customFormat="1">
      <c r="A119" s="608"/>
      <c r="B119" s="864" t="s">
        <v>215</v>
      </c>
      <c r="C119" s="741" t="s">
        <v>648</v>
      </c>
      <c r="D119" s="742">
        <f t="shared" si="77"/>
        <v>100.00000000000003</v>
      </c>
      <c r="E119" s="743">
        <f t="shared" si="78"/>
        <v>28.507611063182704</v>
      </c>
      <c r="F119" s="891">
        <f>'4'!F$235</f>
        <v>5.672452423167476</v>
      </c>
      <c r="G119" s="892">
        <f>'4'!G$235</f>
        <v>4.6973982138670278</v>
      </c>
      <c r="H119" s="893">
        <f>'4'!H$235</f>
        <v>18.137760426148201</v>
      </c>
      <c r="I119" s="747">
        <f t="shared" si="79"/>
        <v>64.924144046317963</v>
      </c>
      <c r="J119" s="891">
        <f>'4'!J$235</f>
        <v>30.194504825305113</v>
      </c>
      <c r="K119" s="892">
        <f>'4'!K$235</f>
        <v>25.953842870116222</v>
      </c>
      <c r="L119" s="893">
        <f>'4'!L$235</f>
        <v>8.7757963508966306</v>
      </c>
      <c r="M119" s="894">
        <f>'4'!M$235</f>
        <v>0.33276321965102384</v>
      </c>
      <c r="N119" s="737">
        <f t="shared" si="51"/>
        <v>3.439246255233853</v>
      </c>
      <c r="O119" s="890">
        <f>'4'!O$235</f>
        <v>3.439246255233853</v>
      </c>
      <c r="P119" s="893">
        <f>'4'!P$235</f>
        <v>0</v>
      </c>
      <c r="Q119" s="749">
        <f>'4'!Q$235</f>
        <v>2.7962354156144715</v>
      </c>
      <c r="R119" s="131"/>
      <c r="S119" s="131"/>
      <c r="T119" s="131"/>
      <c r="U119" s="131"/>
    </row>
    <row r="120" spans="1:21" s="130" customFormat="1">
      <c r="A120" s="608"/>
      <c r="B120" s="865" t="s">
        <v>649</v>
      </c>
      <c r="C120" s="741" t="s">
        <v>650</v>
      </c>
      <c r="D120" s="742">
        <f t="shared" si="77"/>
        <v>100.00000000000003</v>
      </c>
      <c r="E120" s="743">
        <f t="shared" si="78"/>
        <v>28.507611063182704</v>
      </c>
      <c r="F120" s="891">
        <f>'4'!F$235</f>
        <v>5.672452423167476</v>
      </c>
      <c r="G120" s="892">
        <f>'4'!G$235</f>
        <v>4.6973982138670278</v>
      </c>
      <c r="H120" s="893">
        <f>'4'!H$235</f>
        <v>18.137760426148201</v>
      </c>
      <c r="I120" s="747">
        <f t="shared" si="79"/>
        <v>64.924144046317963</v>
      </c>
      <c r="J120" s="891">
        <f>'4'!J$235</f>
        <v>30.194504825305113</v>
      </c>
      <c r="K120" s="892">
        <f>'4'!K$235</f>
        <v>25.953842870116222</v>
      </c>
      <c r="L120" s="893">
        <f>'4'!L$235</f>
        <v>8.7757963508966306</v>
      </c>
      <c r="M120" s="894">
        <f>'4'!M$235</f>
        <v>0.33276321965102384</v>
      </c>
      <c r="N120" s="737">
        <f t="shared" si="51"/>
        <v>3.439246255233853</v>
      </c>
      <c r="O120" s="890">
        <f>'4'!O$235</f>
        <v>3.439246255233853</v>
      </c>
      <c r="P120" s="893">
        <f>'4'!P$235</f>
        <v>0</v>
      </c>
      <c r="Q120" s="749">
        <f>'4'!Q$235</f>
        <v>2.7962354156144715</v>
      </c>
      <c r="R120" s="131"/>
      <c r="S120" s="131"/>
      <c r="T120" s="131"/>
      <c r="U120" s="131"/>
    </row>
    <row r="121" spans="1:21" s="130" customFormat="1">
      <c r="A121" s="608"/>
      <c r="B121" s="864" t="s">
        <v>651</v>
      </c>
      <c r="C121" s="741" t="s">
        <v>652</v>
      </c>
      <c r="D121" s="742">
        <f t="shared" si="77"/>
        <v>100.00000000000003</v>
      </c>
      <c r="E121" s="743">
        <f t="shared" si="78"/>
        <v>28.507611063182704</v>
      </c>
      <c r="F121" s="891">
        <f>'4'!F$235</f>
        <v>5.672452423167476</v>
      </c>
      <c r="G121" s="892">
        <f>'4'!G$235</f>
        <v>4.6973982138670278</v>
      </c>
      <c r="H121" s="893">
        <f>'4'!H$235</f>
        <v>18.137760426148201</v>
      </c>
      <c r="I121" s="747">
        <f t="shared" si="79"/>
        <v>64.924144046317963</v>
      </c>
      <c r="J121" s="891">
        <f>'4'!J$235</f>
        <v>30.194504825305113</v>
      </c>
      <c r="K121" s="892">
        <f>'4'!K$235</f>
        <v>25.953842870116222</v>
      </c>
      <c r="L121" s="893">
        <f>'4'!L$235</f>
        <v>8.7757963508966306</v>
      </c>
      <c r="M121" s="894">
        <f>'4'!M$235</f>
        <v>0.33276321965102384</v>
      </c>
      <c r="N121" s="737">
        <f t="shared" si="51"/>
        <v>3.439246255233853</v>
      </c>
      <c r="O121" s="890">
        <f>'4'!O$235</f>
        <v>3.439246255233853</v>
      </c>
      <c r="P121" s="893">
        <f>'4'!P$235</f>
        <v>0</v>
      </c>
      <c r="Q121" s="749">
        <f>'4'!Q$235</f>
        <v>2.7962354156144715</v>
      </c>
      <c r="R121" s="131"/>
      <c r="S121" s="131"/>
      <c r="T121" s="131"/>
      <c r="U121" s="131"/>
    </row>
    <row r="122" spans="1:21" s="130" customFormat="1">
      <c r="A122" s="608"/>
      <c r="B122" s="864" t="s">
        <v>653</v>
      </c>
      <c r="C122" s="741" t="s">
        <v>654</v>
      </c>
      <c r="D122" s="742">
        <f t="shared" si="77"/>
        <v>100.00000000000003</v>
      </c>
      <c r="E122" s="743">
        <f t="shared" si="78"/>
        <v>28.507611063182704</v>
      </c>
      <c r="F122" s="891">
        <f>'4'!F$235</f>
        <v>5.672452423167476</v>
      </c>
      <c r="G122" s="892">
        <f>'4'!G$235</f>
        <v>4.6973982138670278</v>
      </c>
      <c r="H122" s="893">
        <f>'4'!H$235</f>
        <v>18.137760426148201</v>
      </c>
      <c r="I122" s="747">
        <f t="shared" si="79"/>
        <v>64.924144046317963</v>
      </c>
      <c r="J122" s="891">
        <f>'4'!J$235</f>
        <v>30.194504825305113</v>
      </c>
      <c r="K122" s="892">
        <f>'4'!K$235</f>
        <v>25.953842870116222</v>
      </c>
      <c r="L122" s="893">
        <f>'4'!L$235</f>
        <v>8.7757963508966306</v>
      </c>
      <c r="M122" s="894">
        <f>'4'!M$235</f>
        <v>0.33276321965102384</v>
      </c>
      <c r="N122" s="737">
        <f t="shared" si="51"/>
        <v>3.439246255233853</v>
      </c>
      <c r="O122" s="890">
        <f>'4'!O$235</f>
        <v>3.439246255233853</v>
      </c>
      <c r="P122" s="893">
        <f>'4'!P$235</f>
        <v>0</v>
      </c>
      <c r="Q122" s="749">
        <f>'4'!Q$235</f>
        <v>2.7962354156144715</v>
      </c>
      <c r="R122" s="131"/>
      <c r="S122" s="131"/>
      <c r="T122" s="131"/>
      <c r="U122" s="131"/>
    </row>
    <row r="123" spans="1:21" s="130" customFormat="1">
      <c r="A123" s="608"/>
      <c r="B123" s="864" t="s">
        <v>655</v>
      </c>
      <c r="C123" s="741" t="s">
        <v>656</v>
      </c>
      <c r="D123" s="742">
        <f t="shared" si="77"/>
        <v>100.00000000000003</v>
      </c>
      <c r="E123" s="743">
        <f t="shared" si="78"/>
        <v>28.507611063182704</v>
      </c>
      <c r="F123" s="891">
        <f>'4'!F$235</f>
        <v>5.672452423167476</v>
      </c>
      <c r="G123" s="892">
        <f>'4'!G$235</f>
        <v>4.6973982138670278</v>
      </c>
      <c r="H123" s="893">
        <f>'4'!H$235</f>
        <v>18.137760426148201</v>
      </c>
      <c r="I123" s="747">
        <f t="shared" si="79"/>
        <v>64.924144046317963</v>
      </c>
      <c r="J123" s="891">
        <f>'4'!J$235</f>
        <v>30.194504825305113</v>
      </c>
      <c r="K123" s="892">
        <f>'4'!K$235</f>
        <v>25.953842870116222</v>
      </c>
      <c r="L123" s="893">
        <f>'4'!L$235</f>
        <v>8.7757963508966306</v>
      </c>
      <c r="M123" s="894">
        <f>'4'!M$235</f>
        <v>0.33276321965102384</v>
      </c>
      <c r="N123" s="737">
        <f t="shared" si="51"/>
        <v>3.439246255233853</v>
      </c>
      <c r="O123" s="890">
        <f>'4'!O$235</f>
        <v>3.439246255233853</v>
      </c>
      <c r="P123" s="893">
        <f>'4'!P$235</f>
        <v>0</v>
      </c>
      <c r="Q123" s="749">
        <f>'4'!Q$235</f>
        <v>2.7962354156144715</v>
      </c>
      <c r="R123" s="131"/>
      <c r="S123" s="131"/>
      <c r="T123" s="131"/>
      <c r="U123" s="131"/>
    </row>
    <row r="124" spans="1:21" s="130" customFormat="1">
      <c r="A124" s="608"/>
      <c r="B124" s="865" t="s">
        <v>657</v>
      </c>
      <c r="C124" s="741" t="s">
        <v>658</v>
      </c>
      <c r="D124" s="742">
        <f t="shared" si="77"/>
        <v>100.00000000000003</v>
      </c>
      <c r="E124" s="743">
        <f t="shared" si="78"/>
        <v>28.507611063182704</v>
      </c>
      <c r="F124" s="891">
        <f>'4'!F$235</f>
        <v>5.672452423167476</v>
      </c>
      <c r="G124" s="892">
        <f>'4'!G$235</f>
        <v>4.6973982138670278</v>
      </c>
      <c r="H124" s="893">
        <f>'4'!H$235</f>
        <v>18.137760426148201</v>
      </c>
      <c r="I124" s="747">
        <f t="shared" si="79"/>
        <v>64.924144046317963</v>
      </c>
      <c r="J124" s="891">
        <f>'4'!J$235</f>
        <v>30.194504825305113</v>
      </c>
      <c r="K124" s="892">
        <f>'4'!K$235</f>
        <v>25.953842870116222</v>
      </c>
      <c r="L124" s="893">
        <f>'4'!L$235</f>
        <v>8.7757963508966306</v>
      </c>
      <c r="M124" s="894">
        <f>'4'!M$235</f>
        <v>0.33276321965102384</v>
      </c>
      <c r="N124" s="737">
        <f t="shared" si="51"/>
        <v>3.439246255233853</v>
      </c>
      <c r="O124" s="890">
        <f>'4'!O$235</f>
        <v>3.439246255233853</v>
      </c>
      <c r="P124" s="893">
        <f>'4'!P$235</f>
        <v>0</v>
      </c>
      <c r="Q124" s="749">
        <f>'4'!Q$235</f>
        <v>2.7962354156144715</v>
      </c>
      <c r="R124" s="131"/>
      <c r="S124" s="131"/>
      <c r="T124" s="131"/>
      <c r="U124" s="131"/>
    </row>
    <row r="125" spans="1:21" s="130" customFormat="1">
      <c r="A125" s="608"/>
      <c r="B125" s="865" t="s">
        <v>659</v>
      </c>
      <c r="C125" s="741" t="s">
        <v>660</v>
      </c>
      <c r="D125" s="742">
        <f t="shared" si="77"/>
        <v>100.00000000000003</v>
      </c>
      <c r="E125" s="743">
        <f t="shared" si="78"/>
        <v>28.507611063182704</v>
      </c>
      <c r="F125" s="891">
        <f>'4'!F$235</f>
        <v>5.672452423167476</v>
      </c>
      <c r="G125" s="892">
        <f>'4'!G$235</f>
        <v>4.6973982138670278</v>
      </c>
      <c r="H125" s="893">
        <f>'4'!H$235</f>
        <v>18.137760426148201</v>
      </c>
      <c r="I125" s="747">
        <f t="shared" si="79"/>
        <v>64.924144046317963</v>
      </c>
      <c r="J125" s="891">
        <f>'4'!J$235</f>
        <v>30.194504825305113</v>
      </c>
      <c r="K125" s="892">
        <f>'4'!K$235</f>
        <v>25.953842870116222</v>
      </c>
      <c r="L125" s="893">
        <f>'4'!L$235</f>
        <v>8.7757963508966306</v>
      </c>
      <c r="M125" s="894">
        <f>'4'!M$235</f>
        <v>0.33276321965102384</v>
      </c>
      <c r="N125" s="737">
        <f t="shared" si="51"/>
        <v>3.439246255233853</v>
      </c>
      <c r="O125" s="890">
        <f>'4'!O$235</f>
        <v>3.439246255233853</v>
      </c>
      <c r="P125" s="893">
        <f>'4'!P$235</f>
        <v>0</v>
      </c>
      <c r="Q125" s="749">
        <f>'4'!Q$235</f>
        <v>2.7962354156144715</v>
      </c>
      <c r="R125" s="131"/>
      <c r="S125" s="131"/>
      <c r="T125" s="131"/>
      <c r="U125" s="131"/>
    </row>
    <row r="126" spans="1:21" s="130" customFormat="1">
      <c r="A126" s="608"/>
      <c r="B126" s="865" t="s">
        <v>661</v>
      </c>
      <c r="C126" s="741" t="s">
        <v>662</v>
      </c>
      <c r="D126" s="742">
        <f t="shared" si="77"/>
        <v>100.00000000000003</v>
      </c>
      <c r="E126" s="743">
        <f t="shared" si="78"/>
        <v>28.507611063182704</v>
      </c>
      <c r="F126" s="891">
        <f>'4'!F$235</f>
        <v>5.672452423167476</v>
      </c>
      <c r="G126" s="892">
        <f>'4'!G$235</f>
        <v>4.6973982138670278</v>
      </c>
      <c r="H126" s="893">
        <f>'4'!H$235</f>
        <v>18.137760426148201</v>
      </c>
      <c r="I126" s="747">
        <f t="shared" si="79"/>
        <v>64.924144046317963</v>
      </c>
      <c r="J126" s="891">
        <f>'4'!J$235</f>
        <v>30.194504825305113</v>
      </c>
      <c r="K126" s="892">
        <f>'4'!K$235</f>
        <v>25.953842870116222</v>
      </c>
      <c r="L126" s="893">
        <f>'4'!L$235</f>
        <v>8.7757963508966306</v>
      </c>
      <c r="M126" s="894">
        <f>'4'!M$235</f>
        <v>0.33276321965102384</v>
      </c>
      <c r="N126" s="737">
        <f t="shared" si="51"/>
        <v>3.439246255233853</v>
      </c>
      <c r="O126" s="890">
        <f>'4'!O$235</f>
        <v>3.439246255233853</v>
      </c>
      <c r="P126" s="893">
        <f>'4'!P$235</f>
        <v>0</v>
      </c>
      <c r="Q126" s="749">
        <f>'4'!Q$235</f>
        <v>2.7962354156144715</v>
      </c>
      <c r="R126" s="131"/>
      <c r="S126" s="131"/>
      <c r="T126" s="131"/>
      <c r="U126" s="131"/>
    </row>
    <row r="127" spans="1:21" s="130" customFormat="1">
      <c r="A127" s="608"/>
      <c r="B127" s="865" t="s">
        <v>663</v>
      </c>
      <c r="C127" s="741" t="s">
        <v>664</v>
      </c>
      <c r="D127" s="742">
        <f t="shared" si="77"/>
        <v>100.00000000000003</v>
      </c>
      <c r="E127" s="743">
        <f t="shared" si="78"/>
        <v>28.507611063182704</v>
      </c>
      <c r="F127" s="891">
        <f>'4'!F$235</f>
        <v>5.672452423167476</v>
      </c>
      <c r="G127" s="892">
        <f>'4'!G$235</f>
        <v>4.6973982138670278</v>
      </c>
      <c r="H127" s="893">
        <f>'4'!H$235</f>
        <v>18.137760426148201</v>
      </c>
      <c r="I127" s="747">
        <f t="shared" si="79"/>
        <v>64.924144046317963</v>
      </c>
      <c r="J127" s="891">
        <f>'4'!J$235</f>
        <v>30.194504825305113</v>
      </c>
      <c r="K127" s="892">
        <f>'4'!K$235</f>
        <v>25.953842870116222</v>
      </c>
      <c r="L127" s="893">
        <f>'4'!L$235</f>
        <v>8.7757963508966306</v>
      </c>
      <c r="M127" s="894">
        <f>'4'!M$235</f>
        <v>0.33276321965102384</v>
      </c>
      <c r="N127" s="737">
        <f t="shared" si="51"/>
        <v>3.439246255233853</v>
      </c>
      <c r="O127" s="890">
        <f>'4'!O$235</f>
        <v>3.439246255233853</v>
      </c>
      <c r="P127" s="893">
        <f>'4'!P$235</f>
        <v>0</v>
      </c>
      <c r="Q127" s="749">
        <f>'4'!Q$235</f>
        <v>2.7962354156144715</v>
      </c>
      <c r="R127" s="131"/>
      <c r="S127" s="131"/>
      <c r="T127" s="131"/>
      <c r="U127" s="131"/>
    </row>
    <row r="128" spans="1:21" s="130" customFormat="1">
      <c r="A128" s="608"/>
      <c r="B128" s="864" t="s">
        <v>665</v>
      </c>
      <c r="C128" s="741" t="s">
        <v>666</v>
      </c>
      <c r="D128" s="742">
        <f t="shared" si="77"/>
        <v>100.00000000000003</v>
      </c>
      <c r="E128" s="743">
        <f t="shared" si="78"/>
        <v>28.507611063182704</v>
      </c>
      <c r="F128" s="891">
        <f>'4'!F$235</f>
        <v>5.672452423167476</v>
      </c>
      <c r="G128" s="892">
        <f>'4'!G$235</f>
        <v>4.6973982138670278</v>
      </c>
      <c r="H128" s="893">
        <f>'4'!H$235</f>
        <v>18.137760426148201</v>
      </c>
      <c r="I128" s="747">
        <f t="shared" si="79"/>
        <v>64.924144046317963</v>
      </c>
      <c r="J128" s="891">
        <f>'4'!J$235</f>
        <v>30.194504825305113</v>
      </c>
      <c r="K128" s="892">
        <f>'4'!K$235</f>
        <v>25.953842870116222</v>
      </c>
      <c r="L128" s="893">
        <f>'4'!L$235</f>
        <v>8.7757963508966306</v>
      </c>
      <c r="M128" s="894">
        <f>'4'!M$235</f>
        <v>0.33276321965102384</v>
      </c>
      <c r="N128" s="737">
        <f t="shared" si="51"/>
        <v>3.439246255233853</v>
      </c>
      <c r="O128" s="890">
        <f>'4'!O$235</f>
        <v>3.439246255233853</v>
      </c>
      <c r="P128" s="893">
        <f>'4'!P$235</f>
        <v>0</v>
      </c>
      <c r="Q128" s="749">
        <f>'4'!Q$235</f>
        <v>2.7962354156144715</v>
      </c>
      <c r="R128" s="131"/>
      <c r="S128" s="131"/>
      <c r="T128" s="131"/>
      <c r="U128" s="131"/>
    </row>
    <row r="129" spans="1:21" s="130" customFormat="1">
      <c r="A129" s="608"/>
      <c r="B129" s="865" t="s">
        <v>667</v>
      </c>
      <c r="C129" s="741" t="s">
        <v>668</v>
      </c>
      <c r="D129" s="742">
        <f t="shared" si="77"/>
        <v>100.00000000000003</v>
      </c>
      <c r="E129" s="743">
        <f t="shared" si="78"/>
        <v>28.507611063182704</v>
      </c>
      <c r="F129" s="891">
        <f>'4'!F$235</f>
        <v>5.672452423167476</v>
      </c>
      <c r="G129" s="892">
        <f>'4'!G$235</f>
        <v>4.6973982138670278</v>
      </c>
      <c r="H129" s="893">
        <f>'4'!H$235</f>
        <v>18.137760426148201</v>
      </c>
      <c r="I129" s="747">
        <f t="shared" si="79"/>
        <v>64.924144046317963</v>
      </c>
      <c r="J129" s="891">
        <f>'4'!J$235</f>
        <v>30.194504825305113</v>
      </c>
      <c r="K129" s="892">
        <f>'4'!K$235</f>
        <v>25.953842870116222</v>
      </c>
      <c r="L129" s="893">
        <f>'4'!L$235</f>
        <v>8.7757963508966306</v>
      </c>
      <c r="M129" s="894">
        <f>'4'!M$235</f>
        <v>0.33276321965102384</v>
      </c>
      <c r="N129" s="737">
        <f t="shared" si="51"/>
        <v>3.439246255233853</v>
      </c>
      <c r="O129" s="890">
        <f>'4'!O$235</f>
        <v>3.439246255233853</v>
      </c>
      <c r="P129" s="893">
        <f>'4'!P$235</f>
        <v>0</v>
      </c>
      <c r="Q129" s="749">
        <f>'4'!Q$235</f>
        <v>2.7962354156144715</v>
      </c>
      <c r="R129" s="131"/>
      <c r="S129" s="131"/>
      <c r="T129" s="131"/>
      <c r="U129" s="131"/>
    </row>
    <row r="130" spans="1:21" s="130" customFormat="1">
      <c r="A130" s="608"/>
      <c r="B130" s="865" t="s">
        <v>669</v>
      </c>
      <c r="C130" s="762" t="s">
        <v>670</v>
      </c>
      <c r="D130" s="866">
        <f t="shared" si="77"/>
        <v>100.00000000000003</v>
      </c>
      <c r="E130" s="867">
        <f t="shared" si="78"/>
        <v>28.507611063182704</v>
      </c>
      <c r="F130" s="895">
        <f>'4'!F$235</f>
        <v>5.672452423167476</v>
      </c>
      <c r="G130" s="896">
        <f>'4'!G$235</f>
        <v>4.6973982138670278</v>
      </c>
      <c r="H130" s="897">
        <f>'4'!H$235</f>
        <v>18.137760426148201</v>
      </c>
      <c r="I130" s="871">
        <f t="shared" si="79"/>
        <v>64.924144046317963</v>
      </c>
      <c r="J130" s="895">
        <f>'4'!J$235</f>
        <v>30.194504825305113</v>
      </c>
      <c r="K130" s="896">
        <f>'4'!K$235</f>
        <v>25.953842870116222</v>
      </c>
      <c r="L130" s="897">
        <f>'4'!L$235</f>
        <v>8.7757963508966306</v>
      </c>
      <c r="M130" s="898">
        <f>'4'!M$235</f>
        <v>0.33276321965102384</v>
      </c>
      <c r="N130" s="873">
        <f t="shared" si="51"/>
        <v>3.439246255233853</v>
      </c>
      <c r="O130" s="899">
        <f>'4'!O$235</f>
        <v>3.439246255233853</v>
      </c>
      <c r="P130" s="897">
        <f>'4'!P$235</f>
        <v>0</v>
      </c>
      <c r="Q130" s="873">
        <f>'4'!Q$235</f>
        <v>2.7962354156144715</v>
      </c>
      <c r="R130" s="131"/>
      <c r="S130" s="131"/>
      <c r="T130" s="131"/>
      <c r="U130" s="131"/>
    </row>
    <row r="131" spans="1:21" s="130" customFormat="1" ht="15" thickBot="1">
      <c r="A131" s="608"/>
      <c r="B131" s="900" t="s">
        <v>671</v>
      </c>
      <c r="C131" s="830" t="s">
        <v>672</v>
      </c>
      <c r="D131" s="901">
        <f t="shared" si="77"/>
        <v>100.00000000000003</v>
      </c>
      <c r="E131" s="902">
        <f t="shared" si="78"/>
        <v>28.507611063182704</v>
      </c>
      <c r="F131" s="903">
        <f>'4'!F$235</f>
        <v>5.672452423167476</v>
      </c>
      <c r="G131" s="904">
        <f>'4'!G$235</f>
        <v>4.6973982138670278</v>
      </c>
      <c r="H131" s="905">
        <f>'4'!H$235</f>
        <v>18.137760426148201</v>
      </c>
      <c r="I131" s="906">
        <f t="shared" si="79"/>
        <v>64.924144046317963</v>
      </c>
      <c r="J131" s="903">
        <f>'4'!J$235</f>
        <v>30.194504825305113</v>
      </c>
      <c r="K131" s="904">
        <f>'4'!K$235</f>
        <v>25.953842870116222</v>
      </c>
      <c r="L131" s="905">
        <f>'4'!L$235</f>
        <v>8.7757963508966306</v>
      </c>
      <c r="M131" s="907">
        <f>'4'!M$235</f>
        <v>0.33276321965102384</v>
      </c>
      <c r="N131" s="908">
        <f t="shared" si="51"/>
        <v>3.439246255233853</v>
      </c>
      <c r="O131" s="909">
        <f>'4'!O$235</f>
        <v>3.439246255233853</v>
      </c>
      <c r="P131" s="905">
        <f>'4'!P$235</f>
        <v>0</v>
      </c>
      <c r="Q131" s="908">
        <f>'4'!Q$235</f>
        <v>2.7962354156144715</v>
      </c>
      <c r="R131" s="131"/>
      <c r="S131" s="131"/>
      <c r="T131" s="131"/>
      <c r="U131" s="131"/>
    </row>
    <row r="132" spans="1:21" ht="27" thickBot="1">
      <c r="A132" s="608"/>
      <c r="B132" s="840" t="s">
        <v>78</v>
      </c>
      <c r="C132" s="612" t="s">
        <v>673</v>
      </c>
      <c r="D132" s="842">
        <f t="shared" si="77"/>
        <v>100.00000000000003</v>
      </c>
      <c r="E132" s="843">
        <f t="shared" si="78"/>
        <v>28.507611063182704</v>
      </c>
      <c r="F132" s="844">
        <f>IFERROR(F94/$D$94*100, 0)</f>
        <v>5.6724524231674751</v>
      </c>
      <c r="G132" s="845">
        <f>IFERROR(G94/$D$94*100, 0)</f>
        <v>4.6973982138670278</v>
      </c>
      <c r="H132" s="846">
        <f>IFERROR(H94/$D$94*100, 0)</f>
        <v>18.137760426148201</v>
      </c>
      <c r="I132" s="847">
        <f t="shared" si="79"/>
        <v>64.924144046317963</v>
      </c>
      <c r="J132" s="844">
        <f t="shared" ref="J132:Q132" si="80">IFERROR(J94/$D$94*100, 0)</f>
        <v>30.194504825305113</v>
      </c>
      <c r="K132" s="845">
        <f t="shared" si="80"/>
        <v>25.953842870116219</v>
      </c>
      <c r="L132" s="846">
        <f t="shared" si="80"/>
        <v>8.7757963508966306</v>
      </c>
      <c r="M132" s="848">
        <f t="shared" si="80"/>
        <v>0.33276321965102384</v>
      </c>
      <c r="N132" s="847">
        <f t="shared" si="51"/>
        <v>3.439246255233853</v>
      </c>
      <c r="O132" s="849">
        <f>IFERROR(O94/$D$94*100, 0)</f>
        <v>3.439246255233853</v>
      </c>
      <c r="P132" s="846">
        <f t="shared" si="80"/>
        <v>0</v>
      </c>
      <c r="Q132" s="847">
        <f t="shared" si="80"/>
        <v>2.7962354156144715</v>
      </c>
      <c r="S132" s="131"/>
      <c r="T132" s="131"/>
      <c r="U132" s="131"/>
    </row>
    <row r="133" spans="1:21">
      <c r="S133" s="131"/>
      <c r="T133" s="131"/>
      <c r="U133" s="131"/>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BAE40-4E85-4913-9817-B57863098E2A}">
  <sheetPr>
    <tabColor theme="0" tint="-0.14999847407452621"/>
  </sheetPr>
  <dimension ref="A1:F92"/>
  <sheetViews>
    <sheetView showGridLines="0" tabSelected="1" topLeftCell="C67" workbookViewId="0">
      <selection activeCell="E84" sqref="E84"/>
    </sheetView>
  </sheetViews>
  <sheetFormatPr defaultRowHeight="14.4"/>
  <cols>
    <col min="2" max="2" width="10.44140625" customWidth="1"/>
    <col min="3" max="3" width="64.88671875" customWidth="1"/>
    <col min="4" max="4" width="16" customWidth="1"/>
    <col min="5" max="5" width="22.109375" customWidth="1"/>
  </cols>
  <sheetData>
    <row r="1" spans="1:6">
      <c r="A1" s="578"/>
      <c r="B1" s="578"/>
      <c r="C1" s="578"/>
      <c r="D1" s="578"/>
      <c r="E1" s="578"/>
    </row>
    <row r="2" spans="1:6" ht="72">
      <c r="A2" s="578"/>
      <c r="B2" s="578"/>
      <c r="C2" s="578"/>
      <c r="D2" s="578"/>
      <c r="E2" s="580" t="s">
        <v>676</v>
      </c>
    </row>
    <row r="3" spans="1:6">
      <c r="A3" s="578"/>
      <c r="B3" s="578"/>
      <c r="C3" s="28" t="s">
        <v>1262</v>
      </c>
      <c r="D3" s="578"/>
      <c r="E3" s="578"/>
    </row>
    <row r="4" spans="1:6">
      <c r="A4" s="578"/>
      <c r="B4" s="578"/>
      <c r="C4" s="28" t="s">
        <v>1357</v>
      </c>
      <c r="D4" s="578"/>
      <c r="E4" s="578"/>
    </row>
    <row r="5" spans="1:6">
      <c r="A5" s="578"/>
      <c r="B5" s="578"/>
      <c r="C5" s="578"/>
      <c r="D5" s="578"/>
      <c r="E5" s="578"/>
    </row>
    <row r="6" spans="1:6" ht="31.2">
      <c r="A6" s="578"/>
      <c r="B6" s="578"/>
      <c r="C6" s="910" t="s">
        <v>677</v>
      </c>
      <c r="D6" s="578"/>
      <c r="E6" s="578"/>
    </row>
    <row r="7" spans="1:6" ht="15.6">
      <c r="A7" s="578"/>
      <c r="B7" s="578"/>
      <c r="C7" s="910"/>
      <c r="D7" s="578"/>
      <c r="E7" s="578"/>
    </row>
    <row r="8" spans="1:6" ht="15" thickBot="1">
      <c r="A8" s="578"/>
      <c r="B8" s="578"/>
      <c r="C8" s="578"/>
      <c r="D8" s="578"/>
      <c r="E8" s="578"/>
    </row>
    <row r="9" spans="1:6" ht="27" thickBot="1">
      <c r="A9" s="578"/>
      <c r="B9" s="911" t="s">
        <v>2</v>
      </c>
      <c r="C9" s="912" t="s">
        <v>678</v>
      </c>
      <c r="D9" s="913" t="s">
        <v>679</v>
      </c>
      <c r="E9" s="914" t="s">
        <v>46</v>
      </c>
    </row>
    <row r="10" spans="1:6" ht="15.6" thickTop="1" thickBot="1">
      <c r="A10" s="578"/>
      <c r="B10" s="915"/>
      <c r="C10" s="916" t="s">
        <v>680</v>
      </c>
      <c r="D10" s="917"/>
      <c r="E10" s="918"/>
    </row>
    <row r="11" spans="1:6" ht="16.2" thickTop="1">
      <c r="A11" s="578"/>
      <c r="B11" s="919">
        <v>1</v>
      </c>
      <c r="C11" s="920" t="s">
        <v>681</v>
      </c>
      <c r="D11" s="921" t="s">
        <v>682</v>
      </c>
      <c r="E11" s="922">
        <v>526.35</v>
      </c>
      <c r="F11" s="923" t="b">
        <v>1</v>
      </c>
    </row>
    <row r="12" spans="1:6" ht="16.2" thickBot="1">
      <c r="A12" s="578"/>
      <c r="B12" s="924">
        <v>2</v>
      </c>
      <c r="C12" s="925" t="s">
        <v>683</v>
      </c>
      <c r="D12" s="926" t="s">
        <v>682</v>
      </c>
      <c r="E12" s="927">
        <v>377.4</v>
      </c>
      <c r="F12" s="923" t="b">
        <v>1</v>
      </c>
    </row>
    <row r="13" spans="1:6" ht="15.6">
      <c r="A13" s="578"/>
      <c r="B13" s="928">
        <v>3</v>
      </c>
      <c r="C13" s="929" t="s">
        <v>684</v>
      </c>
      <c r="D13" s="930" t="s">
        <v>682</v>
      </c>
      <c r="E13" s="931">
        <v>525.35</v>
      </c>
      <c r="F13" s="923" t="b">
        <v>1</v>
      </c>
    </row>
    <row r="14" spans="1:6" ht="15.6">
      <c r="A14" s="578"/>
      <c r="B14" s="932" t="s">
        <v>685</v>
      </c>
      <c r="C14" s="933" t="s">
        <v>686</v>
      </c>
      <c r="D14" s="934" t="s">
        <v>687</v>
      </c>
      <c r="E14" s="935">
        <v>127.45936</v>
      </c>
      <c r="F14" s="923" t="b">
        <v>1</v>
      </c>
    </row>
    <row r="15" spans="1:6" ht="16.2" thickBot="1">
      <c r="A15" s="578"/>
      <c r="B15" s="936" t="s">
        <v>688</v>
      </c>
      <c r="C15" s="937" t="s">
        <v>689</v>
      </c>
      <c r="D15" s="938" t="s">
        <v>690</v>
      </c>
      <c r="E15" s="939">
        <v>0</v>
      </c>
      <c r="F15" s="923" t="b">
        <v>1</v>
      </c>
    </row>
    <row r="16" spans="1:6" ht="15.6">
      <c r="A16" s="578"/>
      <c r="B16" s="928" t="s">
        <v>691</v>
      </c>
      <c r="C16" s="929" t="s">
        <v>692</v>
      </c>
      <c r="D16" s="940" t="s">
        <v>687</v>
      </c>
      <c r="E16" s="941">
        <f>E17+E21+E23</f>
        <v>331.82032800000002</v>
      </c>
      <c r="F16" s="923" t="b">
        <v>1</v>
      </c>
    </row>
    <row r="17" spans="1:6" ht="15.6">
      <c r="A17" s="578"/>
      <c r="B17" s="942" t="s">
        <v>693</v>
      </c>
      <c r="C17" s="943" t="s">
        <v>694</v>
      </c>
      <c r="D17" s="944" t="s">
        <v>682</v>
      </c>
      <c r="E17" s="945">
        <f>E18+E20</f>
        <v>235.256328</v>
      </c>
      <c r="F17" s="923" t="b">
        <v>1</v>
      </c>
    </row>
    <row r="18" spans="1:6" ht="15.6">
      <c r="A18" s="578"/>
      <c r="B18" s="932" t="s">
        <v>695</v>
      </c>
      <c r="C18" s="933" t="s">
        <v>696</v>
      </c>
      <c r="D18" s="934" t="s">
        <v>687</v>
      </c>
      <c r="E18" s="946">
        <v>127.45936</v>
      </c>
      <c r="F18" s="923" t="b">
        <v>1</v>
      </c>
    </row>
    <row r="19" spans="1:6" ht="15.6">
      <c r="A19" s="578"/>
      <c r="B19" s="947" t="s">
        <v>697</v>
      </c>
      <c r="C19" s="948" t="s">
        <v>689</v>
      </c>
      <c r="D19" s="949" t="s">
        <v>690</v>
      </c>
      <c r="E19" s="946">
        <v>0</v>
      </c>
      <c r="F19" s="923" t="b">
        <v>1</v>
      </c>
    </row>
    <row r="20" spans="1:6" ht="15.6">
      <c r="A20" s="578"/>
      <c r="B20" s="932" t="s">
        <v>698</v>
      </c>
      <c r="C20" s="933" t="s">
        <v>699</v>
      </c>
      <c r="D20" s="934" t="s">
        <v>687</v>
      </c>
      <c r="E20" s="946">
        <v>107.79696800000001</v>
      </c>
      <c r="F20" s="923" t="b">
        <v>1</v>
      </c>
    </row>
    <row r="21" spans="1:6" ht="15.6">
      <c r="A21" s="578"/>
      <c r="B21" s="942" t="s">
        <v>700</v>
      </c>
      <c r="C21" s="943" t="s">
        <v>701</v>
      </c>
      <c r="D21" s="944" t="s">
        <v>682</v>
      </c>
      <c r="E21" s="950">
        <v>96.563999999999993</v>
      </c>
      <c r="F21" s="923" t="b">
        <v>1</v>
      </c>
    </row>
    <row r="22" spans="1:6" ht="15.6">
      <c r="A22" s="578"/>
      <c r="B22" s="932" t="s">
        <v>702</v>
      </c>
      <c r="C22" s="933" t="s">
        <v>703</v>
      </c>
      <c r="D22" s="934" t="s">
        <v>687</v>
      </c>
      <c r="E22" s="946">
        <v>3.4580000000000002</v>
      </c>
      <c r="F22" s="923" t="b">
        <v>1</v>
      </c>
    </row>
    <row r="23" spans="1:6" ht="16.2" thickBot="1">
      <c r="A23" s="578"/>
      <c r="B23" s="924" t="s">
        <v>704</v>
      </c>
      <c r="C23" s="925" t="s">
        <v>705</v>
      </c>
      <c r="D23" s="926" t="s">
        <v>682</v>
      </c>
      <c r="E23" s="927">
        <v>0</v>
      </c>
      <c r="F23" s="923" t="b">
        <v>1</v>
      </c>
    </row>
    <row r="24" spans="1:6" ht="16.2" thickBot="1">
      <c r="A24" s="578"/>
      <c r="B24" s="951" t="s">
        <v>706</v>
      </c>
      <c r="C24" s="952" t="s">
        <v>707</v>
      </c>
      <c r="D24" s="953" t="s">
        <v>682</v>
      </c>
      <c r="E24" s="954">
        <v>0</v>
      </c>
      <c r="F24" s="923" t="b">
        <v>1</v>
      </c>
    </row>
    <row r="25" spans="1:6" ht="15.6">
      <c r="A25" s="578"/>
      <c r="B25" s="955" t="s">
        <v>708</v>
      </c>
      <c r="C25" s="956" t="s">
        <v>709</v>
      </c>
      <c r="D25" s="957" t="s">
        <v>682</v>
      </c>
      <c r="E25" s="958">
        <f>E11-E16-E24</f>
        <v>194.52967200000001</v>
      </c>
      <c r="F25" s="923" t="b">
        <v>1</v>
      </c>
    </row>
    <row r="26" spans="1:6" ht="15.6">
      <c r="A26" s="578"/>
      <c r="B26" s="959" t="s">
        <v>710</v>
      </c>
      <c r="C26" s="933" t="s">
        <v>711</v>
      </c>
      <c r="D26" s="934" t="s">
        <v>687</v>
      </c>
      <c r="E26" s="960">
        <f>E11-E13</f>
        <v>1</v>
      </c>
      <c r="F26" s="923" t="b">
        <v>1</v>
      </c>
    </row>
    <row r="27" spans="1:6">
      <c r="A27" s="578"/>
      <c r="B27" s="959" t="s">
        <v>712</v>
      </c>
      <c r="C27" s="933" t="s">
        <v>713</v>
      </c>
      <c r="D27" s="934" t="s">
        <v>714</v>
      </c>
      <c r="E27" s="960">
        <f>E13-E16-E24-E29</f>
        <v>193.52967200000001</v>
      </c>
      <c r="F27" s="923" t="b">
        <v>1</v>
      </c>
    </row>
    <row r="28" spans="1:6" ht="15.6">
      <c r="A28" s="578"/>
      <c r="B28" s="932" t="s">
        <v>715</v>
      </c>
      <c r="C28" s="933" t="s">
        <v>716</v>
      </c>
      <c r="D28" s="934" t="s">
        <v>687</v>
      </c>
      <c r="E28" s="961">
        <f>$E$14-$E$18</f>
        <v>0</v>
      </c>
      <c r="F28" s="923" t="b">
        <v>1</v>
      </c>
    </row>
    <row r="29" spans="1:6" ht="15.6">
      <c r="A29" s="578"/>
      <c r="B29" s="947" t="s">
        <v>717</v>
      </c>
      <c r="C29" s="948" t="s">
        <v>718</v>
      </c>
      <c r="D29" s="949" t="s">
        <v>690</v>
      </c>
      <c r="E29" s="962">
        <f>$E$14-$E$18</f>
        <v>0</v>
      </c>
      <c r="F29" s="923" t="b">
        <v>1</v>
      </c>
    </row>
    <row r="30" spans="1:6" ht="15" thickBot="1">
      <c r="A30" s="578"/>
      <c r="B30" s="947" t="s">
        <v>719</v>
      </c>
      <c r="C30" s="963" t="s">
        <v>720</v>
      </c>
      <c r="D30" s="964" t="s">
        <v>714</v>
      </c>
      <c r="E30" s="965">
        <f>E15-E19</f>
        <v>0</v>
      </c>
      <c r="F30" s="923" t="b">
        <v>1</v>
      </c>
    </row>
    <row r="31" spans="1:6" ht="15.6" thickTop="1" thickBot="1">
      <c r="A31" s="578"/>
      <c r="B31" s="915"/>
      <c r="C31" s="916" t="s">
        <v>721</v>
      </c>
      <c r="D31" s="917"/>
      <c r="E31" s="918"/>
      <c r="F31" s="923" t="b">
        <v>1</v>
      </c>
    </row>
    <row r="32" spans="1:6" ht="16.2" thickTop="1">
      <c r="A32" s="578"/>
      <c r="B32" s="928" t="s">
        <v>722</v>
      </c>
      <c r="C32" s="929" t="s">
        <v>723</v>
      </c>
      <c r="D32" s="934" t="s">
        <v>687</v>
      </c>
      <c r="E32" s="941">
        <f>E33+E34</f>
        <v>1108.546</v>
      </c>
      <c r="F32" s="923" t="b">
        <v>1</v>
      </c>
    </row>
    <row r="33" spans="1:6" ht="15.6">
      <c r="A33" s="578"/>
      <c r="B33" s="932" t="s">
        <v>724</v>
      </c>
      <c r="C33" s="933" t="s">
        <v>725</v>
      </c>
      <c r="D33" s="934" t="s">
        <v>687</v>
      </c>
      <c r="E33" s="966">
        <v>1101.3140000000001</v>
      </c>
      <c r="F33" s="923" t="b">
        <v>1</v>
      </c>
    </row>
    <row r="34" spans="1:6" ht="16.2" thickBot="1">
      <c r="A34" s="578"/>
      <c r="B34" s="932" t="s">
        <v>726</v>
      </c>
      <c r="C34" s="967" t="s">
        <v>727</v>
      </c>
      <c r="D34" s="934" t="s">
        <v>687</v>
      </c>
      <c r="E34" s="966">
        <v>7.2320000000000002</v>
      </c>
      <c r="F34" s="923" t="b">
        <v>1</v>
      </c>
    </row>
    <row r="35" spans="1:6" ht="27" thickBot="1">
      <c r="A35" s="578"/>
      <c r="B35" s="968" t="s">
        <v>728</v>
      </c>
      <c r="C35" s="969" t="s">
        <v>729</v>
      </c>
      <c r="D35" s="970" t="s">
        <v>730</v>
      </c>
      <c r="E35" s="971">
        <v>1101.3140000000001</v>
      </c>
      <c r="F35" s="923" t="b">
        <v>1</v>
      </c>
    </row>
    <row r="36" spans="1:6" ht="16.8" thickBot="1">
      <c r="A36" s="578"/>
      <c r="B36" s="951" t="s">
        <v>731</v>
      </c>
      <c r="C36" s="952" t="s">
        <v>732</v>
      </c>
      <c r="D36" s="970" t="s">
        <v>730</v>
      </c>
      <c r="E36" s="954">
        <v>1101.3140000000001</v>
      </c>
      <c r="F36" s="923" t="b">
        <v>1</v>
      </c>
    </row>
    <row r="37" spans="1:6" ht="16.2" thickBot="1">
      <c r="A37" s="578"/>
      <c r="B37" s="972" t="s">
        <v>733</v>
      </c>
      <c r="C37" s="973" t="s">
        <v>734</v>
      </c>
      <c r="D37" s="930" t="s">
        <v>682</v>
      </c>
      <c r="E37" s="974">
        <v>1101.3140000000001</v>
      </c>
      <c r="F37" s="923" t="b">
        <v>1</v>
      </c>
    </row>
    <row r="38" spans="1:6" ht="27" thickBot="1">
      <c r="A38" s="578"/>
      <c r="B38" s="975" t="s">
        <v>735</v>
      </c>
      <c r="C38" s="976" t="s">
        <v>736</v>
      </c>
      <c r="D38" s="977" t="s">
        <v>682</v>
      </c>
      <c r="E38" s="978">
        <f>E39+E45+E48</f>
        <v>392.01629700000001</v>
      </c>
      <c r="F38" s="923" t="b">
        <v>1</v>
      </c>
    </row>
    <row r="39" spans="1:6" ht="15.6">
      <c r="A39" s="578"/>
      <c r="B39" s="928" t="s">
        <v>737</v>
      </c>
      <c r="C39" s="929" t="s">
        <v>738</v>
      </c>
      <c r="D39" s="930" t="s">
        <v>682</v>
      </c>
      <c r="E39" s="941">
        <f>E40+E42</f>
        <v>271.13129700000002</v>
      </c>
      <c r="F39" s="923" t="b">
        <v>1</v>
      </c>
    </row>
    <row r="40" spans="1:6" ht="15.6">
      <c r="A40" s="578"/>
      <c r="B40" s="932" t="s">
        <v>739</v>
      </c>
      <c r="C40" s="933" t="s">
        <v>740</v>
      </c>
      <c r="D40" s="934" t="s">
        <v>687</v>
      </c>
      <c r="E40" s="966">
        <v>127.40918000000001</v>
      </c>
      <c r="F40" s="923" t="b">
        <v>1</v>
      </c>
    </row>
    <row r="41" spans="1:6" ht="15.6">
      <c r="A41" s="578"/>
      <c r="B41" s="947" t="s">
        <v>741</v>
      </c>
      <c r="C41" s="948" t="s">
        <v>742</v>
      </c>
      <c r="D41" s="949" t="s">
        <v>690</v>
      </c>
      <c r="E41" s="946">
        <v>37.518999999999998</v>
      </c>
      <c r="F41" s="923" t="b">
        <v>1</v>
      </c>
    </row>
    <row r="42" spans="1:6" ht="15.6">
      <c r="A42" s="578"/>
      <c r="B42" s="947" t="s">
        <v>743</v>
      </c>
      <c r="C42" s="948" t="s">
        <v>744</v>
      </c>
      <c r="D42" s="949" t="s">
        <v>690</v>
      </c>
      <c r="E42" s="946">
        <v>143.722117</v>
      </c>
      <c r="F42" s="923" t="b">
        <v>1</v>
      </c>
    </row>
    <row r="43" spans="1:6">
      <c r="A43" s="578"/>
      <c r="B43" s="947" t="s">
        <v>745</v>
      </c>
      <c r="C43" s="948" t="s">
        <v>746</v>
      </c>
      <c r="D43" s="949" t="s">
        <v>714</v>
      </c>
      <c r="E43" s="946">
        <v>143.722117</v>
      </c>
      <c r="F43" s="923" t="b">
        <v>1</v>
      </c>
    </row>
    <row r="44" spans="1:6" ht="15" thickBot="1">
      <c r="A44" s="578"/>
      <c r="B44" s="979" t="s">
        <v>747</v>
      </c>
      <c r="C44" s="980" t="s">
        <v>748</v>
      </c>
      <c r="D44" s="981" t="s">
        <v>714</v>
      </c>
      <c r="E44" s="982">
        <v>143.722117</v>
      </c>
      <c r="F44" s="923" t="b">
        <v>1</v>
      </c>
    </row>
    <row r="45" spans="1:6" ht="15.6">
      <c r="A45" s="578"/>
      <c r="B45" s="928" t="s">
        <v>749</v>
      </c>
      <c r="C45" s="929" t="s">
        <v>750</v>
      </c>
      <c r="D45" s="930" t="s">
        <v>682</v>
      </c>
      <c r="E45" s="931">
        <v>120.88500000000001</v>
      </c>
      <c r="F45" s="923" t="b">
        <v>1</v>
      </c>
    </row>
    <row r="46" spans="1:6" ht="15.6">
      <c r="A46" s="578"/>
      <c r="B46" s="932" t="s">
        <v>751</v>
      </c>
      <c r="C46" s="983" t="s">
        <v>752</v>
      </c>
      <c r="D46" s="949" t="s">
        <v>690</v>
      </c>
      <c r="E46" s="966">
        <v>125.47</v>
      </c>
      <c r="F46" s="923" t="b">
        <v>1</v>
      </c>
    </row>
    <row r="47" spans="1:6" ht="16.2" thickBot="1">
      <c r="A47" s="578"/>
      <c r="B47" s="984" t="s">
        <v>753</v>
      </c>
      <c r="C47" s="985" t="s">
        <v>754</v>
      </c>
      <c r="D47" s="938" t="s">
        <v>690</v>
      </c>
      <c r="E47" s="986">
        <v>125.47</v>
      </c>
      <c r="F47" s="923" t="b">
        <v>1</v>
      </c>
    </row>
    <row r="48" spans="1:6" ht="16.2" thickBot="1">
      <c r="A48" s="578"/>
      <c r="B48" s="951" t="s">
        <v>755</v>
      </c>
      <c r="C48" s="952" t="s">
        <v>756</v>
      </c>
      <c r="D48" s="953" t="s">
        <v>682</v>
      </c>
      <c r="E48" s="954">
        <v>0</v>
      </c>
      <c r="F48" s="923" t="b">
        <v>1</v>
      </c>
    </row>
    <row r="49" spans="1:6" ht="15.6">
      <c r="A49" s="578"/>
      <c r="B49" s="928" t="s">
        <v>757</v>
      </c>
      <c r="C49" s="929" t="s">
        <v>758</v>
      </c>
      <c r="D49" s="957" t="s">
        <v>682</v>
      </c>
      <c r="E49" s="941">
        <f>E32-E38</f>
        <v>716.52970300000004</v>
      </c>
      <c r="F49" s="923" t="b">
        <v>1</v>
      </c>
    </row>
    <row r="50" spans="1:6" ht="15.6">
      <c r="A50" s="578"/>
      <c r="B50" s="932" t="s">
        <v>759</v>
      </c>
      <c r="C50" s="933" t="s">
        <v>760</v>
      </c>
      <c r="D50" s="934" t="s">
        <v>687</v>
      </c>
      <c r="E50" s="987">
        <f>E49-E51</f>
        <v>716.52970300000004</v>
      </c>
      <c r="F50" s="923" t="b">
        <v>1</v>
      </c>
    </row>
    <row r="51" spans="1:6" ht="15.6">
      <c r="A51" s="578"/>
      <c r="B51" s="932" t="s">
        <v>761</v>
      </c>
      <c r="C51" s="933" t="s">
        <v>762</v>
      </c>
      <c r="D51" s="934" t="s">
        <v>687</v>
      </c>
      <c r="E51" s="988">
        <f>(E40/(100-E67)*100)-E40</f>
        <v>0</v>
      </c>
      <c r="F51" s="923" t="b">
        <v>1</v>
      </c>
    </row>
    <row r="52" spans="1:6" ht="16.2" thickBot="1">
      <c r="A52" s="578"/>
      <c r="B52" s="936" t="s">
        <v>763</v>
      </c>
      <c r="C52" s="989" t="s">
        <v>764</v>
      </c>
      <c r="D52" s="938" t="s">
        <v>690</v>
      </c>
      <c r="E52" s="990">
        <f>IF(E15-E41&lt;=0,0,E15-E41)</f>
        <v>0</v>
      </c>
      <c r="F52" s="923" t="b">
        <v>1</v>
      </c>
    </row>
    <row r="53" spans="1:6" ht="15.6" thickTop="1" thickBot="1">
      <c r="A53" s="578"/>
      <c r="B53" s="915"/>
      <c r="C53" s="916" t="s">
        <v>765</v>
      </c>
      <c r="D53" s="917"/>
      <c r="E53" s="918"/>
      <c r="F53" s="923" t="b">
        <v>1</v>
      </c>
    </row>
    <row r="54" spans="1:6" ht="16.2" thickTop="1">
      <c r="A54" s="578"/>
      <c r="B54" s="928" t="s">
        <v>766</v>
      </c>
      <c r="C54" s="991" t="s">
        <v>767</v>
      </c>
      <c r="D54" s="930" t="s">
        <v>682</v>
      </c>
      <c r="E54" s="992">
        <f>SUM(E55:E56)</f>
        <v>0</v>
      </c>
      <c r="F54" s="923" t="b">
        <v>1</v>
      </c>
    </row>
    <row r="55" spans="1:6" ht="15.6">
      <c r="A55" s="578"/>
      <c r="B55" s="993" t="s">
        <v>768</v>
      </c>
      <c r="C55" s="994" t="s">
        <v>769</v>
      </c>
      <c r="D55" s="934" t="s">
        <v>687</v>
      </c>
      <c r="E55" s="995">
        <v>0</v>
      </c>
      <c r="F55" s="923" t="b">
        <v>1</v>
      </c>
    </row>
    <row r="56" spans="1:6" ht="16.2" thickBot="1">
      <c r="A56" s="578"/>
      <c r="B56" s="996" t="s">
        <v>770</v>
      </c>
      <c r="C56" s="997" t="s">
        <v>771</v>
      </c>
      <c r="D56" s="998" t="s">
        <v>687</v>
      </c>
      <c r="E56" s="999">
        <v>0</v>
      </c>
      <c r="F56" s="923" t="b">
        <v>1</v>
      </c>
    </row>
    <row r="57" spans="1:6" ht="16.2" thickBot="1">
      <c r="A57" s="578"/>
      <c r="B57" s="951" t="s">
        <v>772</v>
      </c>
      <c r="C57" s="952" t="s">
        <v>773</v>
      </c>
      <c r="D57" s="953" t="s">
        <v>682</v>
      </c>
      <c r="E57" s="954">
        <v>0</v>
      </c>
      <c r="F57" s="923" t="b">
        <v>1</v>
      </c>
    </row>
    <row r="58" spans="1:6" ht="15.6">
      <c r="A58" s="578"/>
      <c r="B58" s="928" t="s">
        <v>774</v>
      </c>
      <c r="C58" s="929" t="s">
        <v>775</v>
      </c>
      <c r="D58" s="930" t="s">
        <v>682</v>
      </c>
      <c r="E58" s="931">
        <f>SUM(E59:E60)</f>
        <v>0</v>
      </c>
      <c r="F58" s="923" t="b">
        <v>1</v>
      </c>
    </row>
    <row r="59" spans="1:6" ht="15.6">
      <c r="A59" s="578"/>
      <c r="B59" s="984" t="s">
        <v>776</v>
      </c>
      <c r="C59" s="994" t="s">
        <v>769</v>
      </c>
      <c r="D59" s="934" t="s">
        <v>687</v>
      </c>
      <c r="E59" s="927">
        <v>0</v>
      </c>
      <c r="F59" s="923" t="b">
        <v>1</v>
      </c>
    </row>
    <row r="60" spans="1:6" ht="16.2" thickBot="1">
      <c r="A60" s="578"/>
      <c r="B60" s="984" t="s">
        <v>777</v>
      </c>
      <c r="C60" s="997" t="s">
        <v>771</v>
      </c>
      <c r="D60" s="998" t="s">
        <v>687</v>
      </c>
      <c r="E60" s="986">
        <v>0</v>
      </c>
      <c r="F60" s="923" t="b">
        <v>1</v>
      </c>
    </row>
    <row r="61" spans="1:6" ht="16.2" thickBot="1">
      <c r="A61" s="578"/>
      <c r="B61" s="1000" t="s">
        <v>778</v>
      </c>
      <c r="C61" s="1001" t="s">
        <v>779</v>
      </c>
      <c r="D61" s="1002" t="s">
        <v>682</v>
      </c>
      <c r="E61" s="1003">
        <f>E54-E58</f>
        <v>0</v>
      </c>
      <c r="F61" s="923" t="b">
        <v>1</v>
      </c>
    </row>
    <row r="62" spans="1:6" ht="15.6" thickTop="1" thickBot="1">
      <c r="A62" s="578"/>
      <c r="B62" s="915"/>
      <c r="C62" s="916" t="s">
        <v>780</v>
      </c>
      <c r="D62" s="917"/>
      <c r="E62" s="918"/>
      <c r="F62" s="923" t="b">
        <v>1</v>
      </c>
    </row>
    <row r="63" spans="1:6" ht="15.6" thickTop="1" thickBot="1">
      <c r="A63" s="578"/>
      <c r="B63" s="1004" t="s">
        <v>781</v>
      </c>
      <c r="C63" s="1005" t="s">
        <v>782</v>
      </c>
      <c r="D63" s="1005" t="s">
        <v>783</v>
      </c>
      <c r="E63" s="1006">
        <f>IF(E11=0,0,E25/E11*100)</f>
        <v>36.958235394699344</v>
      </c>
      <c r="F63" s="923" t="b">
        <v>1</v>
      </c>
    </row>
    <row r="64" spans="1:6">
      <c r="A64" s="578"/>
      <c r="B64" s="1007" t="s">
        <v>784</v>
      </c>
      <c r="C64" s="1008" t="s">
        <v>785</v>
      </c>
      <c r="D64" s="1009" t="s">
        <v>783</v>
      </c>
      <c r="E64" s="1010">
        <f>IF(E11=0,0,E26/E11*100)</f>
        <v>0.18998765080269781</v>
      </c>
      <c r="F64" s="923" t="b">
        <v>1</v>
      </c>
    </row>
    <row r="65" spans="1:6">
      <c r="A65" s="578"/>
      <c r="B65" s="1011" t="s">
        <v>786</v>
      </c>
      <c r="C65" s="1012" t="s">
        <v>713</v>
      </c>
      <c r="D65" s="1013" t="s">
        <v>783</v>
      </c>
      <c r="E65" s="1014">
        <f>IF(E11=0,0,E27/E11*100)</f>
        <v>36.768247743896652</v>
      </c>
      <c r="F65" s="923" t="b">
        <v>1</v>
      </c>
    </row>
    <row r="66" spans="1:6">
      <c r="A66" s="578"/>
      <c r="B66" s="1011" t="s">
        <v>787</v>
      </c>
      <c r="C66" s="1012" t="s">
        <v>716</v>
      </c>
      <c r="D66" s="1013" t="s">
        <v>783</v>
      </c>
      <c r="E66" s="1014">
        <f>IF(E13=0,0,E28/E11*100)</f>
        <v>0</v>
      </c>
      <c r="F66" s="923" t="b">
        <v>1</v>
      </c>
    </row>
    <row r="67" spans="1:6">
      <c r="A67" s="578"/>
      <c r="B67" s="1011" t="s">
        <v>788</v>
      </c>
      <c r="C67" s="1015" t="s">
        <v>718</v>
      </c>
      <c r="D67" s="1013" t="s">
        <v>783</v>
      </c>
      <c r="E67" s="1014">
        <f t="shared" ref="E67:E68" si="0">IF(E14=0,0,E29/E14*100)</f>
        <v>0</v>
      </c>
      <c r="F67" s="923" t="b">
        <v>1</v>
      </c>
    </row>
    <row r="68" spans="1:6" ht="15" thickBot="1">
      <c r="A68" s="578"/>
      <c r="B68" s="1016" t="s">
        <v>789</v>
      </c>
      <c r="C68" s="1017" t="s">
        <v>720</v>
      </c>
      <c r="D68" s="1018" t="s">
        <v>783</v>
      </c>
      <c r="E68" s="1019">
        <f t="shared" si="0"/>
        <v>0</v>
      </c>
      <c r="F68" s="923" t="b">
        <v>1</v>
      </c>
    </row>
    <row r="69" spans="1:6" ht="27" thickBot="1">
      <c r="A69" s="578"/>
      <c r="B69" s="1004" t="s">
        <v>790</v>
      </c>
      <c r="C69" s="1005" t="s">
        <v>791</v>
      </c>
      <c r="D69" s="1005" t="s">
        <v>783</v>
      </c>
      <c r="E69" s="1006">
        <f>IF(E32=0,0,E49/E32*100)</f>
        <v>64.636894003496465</v>
      </c>
      <c r="F69" s="923" t="b">
        <v>1</v>
      </c>
    </row>
    <row r="70" spans="1:6">
      <c r="A70" s="578"/>
      <c r="B70" s="1020" t="s">
        <v>792</v>
      </c>
      <c r="C70" s="1021" t="s">
        <v>760</v>
      </c>
      <c r="D70" s="1013" t="s">
        <v>783</v>
      </c>
      <c r="E70" s="1010">
        <f t="shared" ref="E70" si="1">IF($E$32=0,0,E50/$E$32*100)</f>
        <v>64.636894003496465</v>
      </c>
      <c r="F70" s="923" t="b">
        <v>1</v>
      </c>
    </row>
    <row r="71" spans="1:6">
      <c r="A71" s="578"/>
      <c r="B71" s="1020" t="s">
        <v>793</v>
      </c>
      <c r="C71" s="1022" t="s">
        <v>762</v>
      </c>
      <c r="D71" s="1013" t="s">
        <v>783</v>
      </c>
      <c r="E71" s="1023">
        <f>IF($E$32=0,0,E51/$E$32*100)</f>
        <v>0</v>
      </c>
      <c r="F71" s="923" t="b">
        <v>1</v>
      </c>
    </row>
    <row r="72" spans="1:6" ht="15" thickBot="1">
      <c r="A72" s="578"/>
      <c r="B72" s="1024" t="s">
        <v>794</v>
      </c>
      <c r="C72" s="1025" t="s">
        <v>764</v>
      </c>
      <c r="D72" s="1026" t="s">
        <v>783</v>
      </c>
      <c r="E72" s="1027">
        <f>IF($E$32=0,0,E52/$E$32*100)</f>
        <v>0</v>
      </c>
      <c r="F72" s="923" t="b">
        <v>1</v>
      </c>
    </row>
    <row r="73" spans="1:6" ht="27.6" thickTop="1" thickBot="1">
      <c r="A73" s="578"/>
      <c r="B73" s="1028" t="s">
        <v>795</v>
      </c>
      <c r="C73" s="1029" t="s">
        <v>796</v>
      </c>
      <c r="D73" s="1029" t="s">
        <v>783</v>
      </c>
      <c r="E73" s="1030">
        <f>IF(E54=0,0,E61/E54*100)</f>
        <v>0</v>
      </c>
      <c r="F73" s="923" t="b">
        <v>1</v>
      </c>
    </row>
    <row r="74" spans="1:6" ht="15.6" thickTop="1" thickBot="1">
      <c r="A74" s="578"/>
      <c r="B74" s="915"/>
      <c r="C74" s="916" t="s">
        <v>797</v>
      </c>
      <c r="D74" s="917"/>
      <c r="E74" s="918"/>
      <c r="F74" s="923" t="b">
        <v>1</v>
      </c>
    </row>
    <row r="75" spans="1:6" ht="15.6" thickTop="1" thickBot="1">
      <c r="A75" s="578"/>
      <c r="B75" s="924" t="s">
        <v>798</v>
      </c>
      <c r="C75" s="926" t="s">
        <v>799</v>
      </c>
      <c r="D75" s="998" t="s">
        <v>800</v>
      </c>
      <c r="E75" s="1031">
        <v>23314</v>
      </c>
      <c r="F75" s="923" t="b">
        <v>1</v>
      </c>
    </row>
    <row r="76" spans="1:6" ht="15" thickBot="1">
      <c r="A76" s="578"/>
      <c r="B76" s="951" t="s">
        <v>801</v>
      </c>
      <c r="C76" s="953" t="s">
        <v>802</v>
      </c>
      <c r="D76" s="1032" t="s">
        <v>803</v>
      </c>
      <c r="E76" s="1033">
        <v>13720</v>
      </c>
      <c r="F76" s="923" t="b">
        <v>1</v>
      </c>
    </row>
    <row r="77" spans="1:6">
      <c r="A77" s="578"/>
      <c r="B77" s="928" t="s">
        <v>804</v>
      </c>
      <c r="C77" s="930" t="s">
        <v>805</v>
      </c>
      <c r="D77" s="940" t="s">
        <v>803</v>
      </c>
      <c r="E77" s="1034">
        <f>E78+E81+E82+E83+E84</f>
        <v>7064</v>
      </c>
      <c r="F77" s="923" t="b">
        <v>1</v>
      </c>
    </row>
    <row r="78" spans="1:6">
      <c r="A78" s="578"/>
      <c r="B78" s="984" t="s">
        <v>806</v>
      </c>
      <c r="C78" s="934" t="s">
        <v>807</v>
      </c>
      <c r="D78" s="934" t="s">
        <v>803</v>
      </c>
      <c r="E78" s="1035">
        <f>SUM(E79:E80)</f>
        <v>4583</v>
      </c>
      <c r="F78" s="923" t="b">
        <v>1</v>
      </c>
    </row>
    <row r="79" spans="1:6">
      <c r="A79" s="578"/>
      <c r="B79" s="947" t="s">
        <v>808</v>
      </c>
      <c r="C79" s="1036" t="s">
        <v>809</v>
      </c>
      <c r="D79" s="949" t="s">
        <v>803</v>
      </c>
      <c r="E79" s="1037">
        <v>3248</v>
      </c>
      <c r="F79" s="923" t="b">
        <v>1</v>
      </c>
    </row>
    <row r="80" spans="1:6">
      <c r="A80" s="578"/>
      <c r="B80" s="947" t="s">
        <v>810</v>
      </c>
      <c r="C80" s="1036" t="s">
        <v>811</v>
      </c>
      <c r="D80" s="949" t="s">
        <v>803</v>
      </c>
      <c r="E80" s="1037">
        <v>1335</v>
      </c>
      <c r="F80" s="923" t="b">
        <v>1</v>
      </c>
    </row>
    <row r="81" spans="1:6">
      <c r="A81" s="578"/>
      <c r="B81" s="932" t="s">
        <v>812</v>
      </c>
      <c r="C81" s="934" t="s">
        <v>813</v>
      </c>
      <c r="D81" s="934" t="s">
        <v>803</v>
      </c>
      <c r="E81" s="1038">
        <v>726</v>
      </c>
      <c r="F81" s="923" t="b">
        <v>1</v>
      </c>
    </row>
    <row r="82" spans="1:6">
      <c r="A82" s="578"/>
      <c r="B82" s="932" t="s">
        <v>814</v>
      </c>
      <c r="C82" s="934" t="s">
        <v>815</v>
      </c>
      <c r="D82" s="934" t="s">
        <v>803</v>
      </c>
      <c r="E82" s="1038">
        <v>1474</v>
      </c>
      <c r="F82" s="923" t="b">
        <v>1</v>
      </c>
    </row>
    <row r="83" spans="1:6">
      <c r="A83" s="578"/>
      <c r="B83" s="996" t="s">
        <v>816</v>
      </c>
      <c r="C83" s="1039" t="s">
        <v>817</v>
      </c>
      <c r="D83" s="1040" t="s">
        <v>803</v>
      </c>
      <c r="E83" s="1041">
        <v>233</v>
      </c>
      <c r="F83" s="923" t="b">
        <v>1</v>
      </c>
    </row>
    <row r="84" spans="1:6" ht="15" thickBot="1">
      <c r="A84" s="578"/>
      <c r="B84" s="1042" t="s">
        <v>818</v>
      </c>
      <c r="C84" s="1043" t="s">
        <v>819</v>
      </c>
      <c r="D84" s="1044" t="s">
        <v>803</v>
      </c>
      <c r="E84" s="1045">
        <v>48</v>
      </c>
      <c r="F84" s="923" t="b">
        <v>1</v>
      </c>
    </row>
    <row r="85" spans="1:6">
      <c r="A85" s="578"/>
      <c r="B85" s="928" t="s">
        <v>820</v>
      </c>
      <c r="C85" s="930" t="s">
        <v>821</v>
      </c>
      <c r="D85" s="940" t="s">
        <v>803</v>
      </c>
      <c r="E85" s="1046">
        <f>SUM(E86:E88)</f>
        <v>307</v>
      </c>
      <c r="F85" s="923" t="b">
        <v>1</v>
      </c>
    </row>
    <row r="86" spans="1:6">
      <c r="A86" s="578"/>
      <c r="B86" s="932" t="s">
        <v>822</v>
      </c>
      <c r="C86" s="934" t="s">
        <v>823</v>
      </c>
      <c r="D86" s="934" t="s">
        <v>803</v>
      </c>
      <c r="E86" s="1047">
        <v>218</v>
      </c>
      <c r="F86" s="923" t="b">
        <v>1</v>
      </c>
    </row>
    <row r="87" spans="1:6">
      <c r="A87" s="578"/>
      <c r="B87" s="984" t="s">
        <v>824</v>
      </c>
      <c r="C87" s="998" t="s">
        <v>825</v>
      </c>
      <c r="D87" s="998" t="s">
        <v>803</v>
      </c>
      <c r="E87" s="1048">
        <v>66</v>
      </c>
      <c r="F87" s="923" t="b">
        <v>1</v>
      </c>
    </row>
    <row r="88" spans="1:6" ht="15" thickBot="1">
      <c r="A88" s="578"/>
      <c r="B88" s="932" t="s">
        <v>826</v>
      </c>
      <c r="C88" s="934" t="s">
        <v>827</v>
      </c>
      <c r="D88" s="934" t="s">
        <v>803</v>
      </c>
      <c r="E88" s="1047">
        <v>23</v>
      </c>
      <c r="F88" s="923" t="b">
        <v>1</v>
      </c>
    </row>
    <row r="89" spans="1:6">
      <c r="A89" s="578"/>
      <c r="B89" s="928" t="s">
        <v>828</v>
      </c>
      <c r="C89" s="930" t="s">
        <v>829</v>
      </c>
      <c r="D89" s="1049" t="s">
        <v>803</v>
      </c>
      <c r="E89" s="1050">
        <f>SUM(E90:E92)</f>
        <v>7090</v>
      </c>
      <c r="F89" s="923" t="b">
        <v>1</v>
      </c>
    </row>
    <row r="90" spans="1:6">
      <c r="A90" s="578"/>
      <c r="B90" s="993" t="s">
        <v>830</v>
      </c>
      <c r="C90" s="1051" t="s">
        <v>831</v>
      </c>
      <c r="D90" s="1051" t="s">
        <v>803</v>
      </c>
      <c r="E90" s="1052">
        <v>4801</v>
      </c>
      <c r="F90" s="923" t="b">
        <v>1</v>
      </c>
    </row>
    <row r="91" spans="1:6">
      <c r="A91" s="578"/>
      <c r="B91" s="984" t="s">
        <v>832</v>
      </c>
      <c r="C91" s="998" t="s">
        <v>833</v>
      </c>
      <c r="D91" s="998" t="s">
        <v>803</v>
      </c>
      <c r="E91" s="1048">
        <v>792</v>
      </c>
      <c r="F91" s="923" t="b">
        <v>1</v>
      </c>
    </row>
    <row r="92" spans="1:6" ht="15" thickBot="1">
      <c r="A92" s="578"/>
      <c r="B92" s="1042" t="s">
        <v>834</v>
      </c>
      <c r="C92" s="1044" t="s">
        <v>835</v>
      </c>
      <c r="D92" s="1044" t="s">
        <v>803</v>
      </c>
      <c r="E92" s="1053">
        <v>1497</v>
      </c>
      <c r="F92" s="923" t="b">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E2EFB-1D08-4BC1-9A1D-F80C2D67C1D2}">
  <sheetPr>
    <tabColor theme="0" tint="-0.14999847407452621"/>
  </sheetPr>
  <dimension ref="A1:F197"/>
  <sheetViews>
    <sheetView showGridLines="0" topLeftCell="A175" workbookViewId="0">
      <selection activeCell="E190" sqref="E190:E194"/>
    </sheetView>
  </sheetViews>
  <sheetFormatPr defaultRowHeight="14.4"/>
  <cols>
    <col min="2" max="2" width="8.6640625" style="130" customWidth="1"/>
    <col min="3" max="3" width="78.33203125" style="130" customWidth="1"/>
    <col min="4" max="4" width="16.44140625" style="130" customWidth="1"/>
    <col min="5" max="5" width="21.109375" style="130" customWidth="1"/>
    <col min="6" max="6" width="9.109375" style="130"/>
  </cols>
  <sheetData>
    <row r="1" spans="1:5">
      <c r="A1" s="578"/>
      <c r="B1" s="578"/>
      <c r="C1" s="578"/>
      <c r="D1" s="578"/>
      <c r="E1" s="578"/>
    </row>
    <row r="2" spans="1:5" ht="72">
      <c r="A2" s="578"/>
      <c r="B2" s="578"/>
      <c r="C2" s="578"/>
      <c r="D2" s="578"/>
      <c r="E2" s="580" t="s">
        <v>836</v>
      </c>
    </row>
    <row r="3" spans="1:5">
      <c r="A3" s="578"/>
      <c r="B3" s="578"/>
      <c r="C3" s="28" t="s">
        <v>1262</v>
      </c>
      <c r="D3" s="578"/>
      <c r="E3" s="578"/>
    </row>
    <row r="4" spans="1:5">
      <c r="A4" s="578"/>
      <c r="B4" s="578"/>
      <c r="C4" s="28" t="s">
        <v>1357</v>
      </c>
      <c r="D4" s="578"/>
      <c r="E4" s="578"/>
    </row>
    <row r="5" spans="1:5">
      <c r="A5" s="578"/>
      <c r="B5" s="578"/>
      <c r="C5" s="578"/>
      <c r="D5" s="578"/>
      <c r="E5" s="578"/>
    </row>
    <row r="6" spans="1:5" ht="15.6">
      <c r="A6" s="578"/>
      <c r="B6" s="578"/>
      <c r="C6" s="1054" t="s">
        <v>837</v>
      </c>
      <c r="D6" s="578"/>
      <c r="E6" s="578"/>
    </row>
    <row r="7" spans="1:5" ht="15" thickBot="1">
      <c r="A7" s="578"/>
      <c r="B7" s="578"/>
      <c r="C7" s="578"/>
      <c r="D7" s="578"/>
      <c r="E7" s="578"/>
    </row>
    <row r="8" spans="1:5" ht="15" thickBot="1">
      <c r="A8" s="578"/>
      <c r="B8" s="1055" t="s">
        <v>2</v>
      </c>
      <c r="C8" s="912" t="s">
        <v>838</v>
      </c>
      <c r="D8" s="1056" t="s">
        <v>679</v>
      </c>
      <c r="E8" s="1057" t="s">
        <v>46</v>
      </c>
    </row>
    <row r="9" spans="1:5" ht="15" thickBot="1">
      <c r="A9" s="578"/>
      <c r="B9" s="1058"/>
      <c r="C9" s="912" t="s">
        <v>839</v>
      </c>
      <c r="D9" s="912"/>
      <c r="E9" s="1059"/>
    </row>
    <row r="10" spans="1:5" ht="15.6">
      <c r="A10" s="578"/>
      <c r="B10" s="928" t="s">
        <v>93</v>
      </c>
      <c r="C10" s="930" t="s">
        <v>840</v>
      </c>
      <c r="D10" s="930" t="s">
        <v>841</v>
      </c>
      <c r="E10" s="1060">
        <v>3500</v>
      </c>
    </row>
    <row r="11" spans="1:5" ht="15.6">
      <c r="A11" s="578"/>
      <c r="B11" s="942" t="s">
        <v>99</v>
      </c>
      <c r="C11" s="944" t="s">
        <v>842</v>
      </c>
      <c r="D11" s="921" t="s">
        <v>841</v>
      </c>
      <c r="E11" s="1061">
        <v>1496</v>
      </c>
    </row>
    <row r="12" spans="1:5" ht="15.6">
      <c r="A12" s="578"/>
      <c r="B12" s="942" t="s">
        <v>121</v>
      </c>
      <c r="C12" s="944" t="s">
        <v>843</v>
      </c>
      <c r="D12" s="944" t="s">
        <v>841</v>
      </c>
      <c r="E12" s="1061">
        <v>1095</v>
      </c>
    </row>
    <row r="13" spans="1:5" ht="15.6">
      <c r="A13" s="578"/>
      <c r="B13" s="942" t="s">
        <v>265</v>
      </c>
      <c r="C13" s="944" t="s">
        <v>844</v>
      </c>
      <c r="D13" s="944" t="s">
        <v>841</v>
      </c>
      <c r="E13" s="1061">
        <v>32412</v>
      </c>
    </row>
    <row r="14" spans="1:5" ht="15.6">
      <c r="A14" s="578"/>
      <c r="B14" s="942" t="s">
        <v>267</v>
      </c>
      <c r="C14" s="944" t="s">
        <v>845</v>
      </c>
      <c r="D14" s="944" t="s">
        <v>841</v>
      </c>
      <c r="E14" s="1061">
        <v>0</v>
      </c>
    </row>
    <row r="15" spans="1:5" ht="15.6">
      <c r="A15" s="578"/>
      <c r="B15" s="942" t="s">
        <v>275</v>
      </c>
      <c r="C15" s="944" t="s">
        <v>846</v>
      </c>
      <c r="D15" s="944" t="s">
        <v>841</v>
      </c>
      <c r="E15" s="1061">
        <v>1816</v>
      </c>
    </row>
    <row r="16" spans="1:5" ht="15.6">
      <c r="A16" s="578"/>
      <c r="B16" s="932" t="s">
        <v>277</v>
      </c>
      <c r="C16" s="934" t="s">
        <v>847</v>
      </c>
      <c r="D16" s="934" t="s">
        <v>848</v>
      </c>
      <c r="E16" s="1062">
        <v>365</v>
      </c>
    </row>
    <row r="17" spans="1:5">
      <c r="A17" s="578"/>
      <c r="B17" s="932" t="s">
        <v>598</v>
      </c>
      <c r="C17" s="934" t="s">
        <v>849</v>
      </c>
      <c r="D17" s="934" t="s">
        <v>850</v>
      </c>
      <c r="E17" s="1062">
        <v>260</v>
      </c>
    </row>
    <row r="18" spans="1:5">
      <c r="A18" s="578"/>
      <c r="B18" s="932" t="s">
        <v>599</v>
      </c>
      <c r="C18" s="934" t="s">
        <v>851</v>
      </c>
      <c r="D18" s="934" t="s">
        <v>850</v>
      </c>
      <c r="E18" s="1062">
        <v>40</v>
      </c>
    </row>
    <row r="19" spans="1:5">
      <c r="A19" s="578"/>
      <c r="B19" s="932" t="s">
        <v>852</v>
      </c>
      <c r="C19" s="934" t="s">
        <v>853</v>
      </c>
      <c r="D19" s="998" t="s">
        <v>850</v>
      </c>
      <c r="E19" s="1062">
        <v>10</v>
      </c>
    </row>
    <row r="20" spans="1:5" ht="15.6">
      <c r="A20" s="578"/>
      <c r="B20" s="942" t="s">
        <v>279</v>
      </c>
      <c r="C20" s="944" t="s">
        <v>854</v>
      </c>
      <c r="D20" s="944" t="s">
        <v>841</v>
      </c>
      <c r="E20" s="1061">
        <v>0</v>
      </c>
    </row>
    <row r="21" spans="1:5" ht="15.6">
      <c r="A21" s="578"/>
      <c r="B21" s="932" t="s">
        <v>855</v>
      </c>
      <c r="C21" s="934" t="s">
        <v>847</v>
      </c>
      <c r="D21" s="934" t="s">
        <v>848</v>
      </c>
      <c r="E21" s="1062">
        <v>0</v>
      </c>
    </row>
    <row r="22" spans="1:5">
      <c r="A22" s="578"/>
      <c r="B22" s="932" t="s">
        <v>856</v>
      </c>
      <c r="C22" s="934" t="s">
        <v>849</v>
      </c>
      <c r="D22" s="934" t="s">
        <v>850</v>
      </c>
      <c r="E22" s="1062">
        <v>0</v>
      </c>
    </row>
    <row r="23" spans="1:5">
      <c r="A23" s="578"/>
      <c r="B23" s="932" t="s">
        <v>857</v>
      </c>
      <c r="C23" s="934" t="s">
        <v>858</v>
      </c>
      <c r="D23" s="934" t="s">
        <v>850</v>
      </c>
      <c r="E23" s="1062">
        <v>0</v>
      </c>
    </row>
    <row r="24" spans="1:5">
      <c r="A24" s="578"/>
      <c r="B24" s="942" t="s">
        <v>859</v>
      </c>
      <c r="C24" s="944" t="s">
        <v>860</v>
      </c>
      <c r="D24" s="944" t="s">
        <v>861</v>
      </c>
      <c r="E24" s="1061">
        <v>2600</v>
      </c>
    </row>
    <row r="25" spans="1:5">
      <c r="A25" s="578"/>
      <c r="B25" s="932" t="s">
        <v>862</v>
      </c>
      <c r="C25" s="934" t="s">
        <v>863</v>
      </c>
      <c r="D25" s="934" t="s">
        <v>861</v>
      </c>
      <c r="E25" s="1062">
        <v>0</v>
      </c>
    </row>
    <row r="26" spans="1:5">
      <c r="A26" s="578"/>
      <c r="B26" s="932" t="s">
        <v>864</v>
      </c>
      <c r="C26" s="934" t="s">
        <v>865</v>
      </c>
      <c r="D26" s="934" t="s">
        <v>861</v>
      </c>
      <c r="E26" s="1062">
        <v>3500</v>
      </c>
    </row>
    <row r="27" spans="1:5">
      <c r="A27" s="578"/>
      <c r="B27" s="932" t="s">
        <v>866</v>
      </c>
      <c r="C27" s="934" t="s">
        <v>867</v>
      </c>
      <c r="D27" s="934" t="s">
        <v>861</v>
      </c>
      <c r="E27" s="1062">
        <v>0</v>
      </c>
    </row>
    <row r="28" spans="1:5">
      <c r="A28" s="578"/>
      <c r="B28" s="932" t="s">
        <v>868</v>
      </c>
      <c r="C28" s="934" t="s">
        <v>869</v>
      </c>
      <c r="D28" s="934" t="s">
        <v>861</v>
      </c>
      <c r="E28" s="1062">
        <v>0</v>
      </c>
    </row>
    <row r="29" spans="1:5" ht="15" thickBot="1">
      <c r="A29" s="578"/>
      <c r="B29" s="1042" t="s">
        <v>870</v>
      </c>
      <c r="C29" s="1044" t="s">
        <v>871</v>
      </c>
      <c r="D29" s="1044" t="s">
        <v>861</v>
      </c>
      <c r="E29" s="1063">
        <v>8000</v>
      </c>
    </row>
    <row r="30" spans="1:5" ht="15" thickBot="1">
      <c r="A30" s="578"/>
      <c r="B30" s="1058"/>
      <c r="C30" s="912" t="s">
        <v>872</v>
      </c>
      <c r="D30" s="912"/>
      <c r="E30" s="1059"/>
    </row>
    <row r="31" spans="1:5">
      <c r="A31" s="578"/>
      <c r="B31" s="1064" t="s">
        <v>52</v>
      </c>
      <c r="C31" s="1065" t="s">
        <v>873</v>
      </c>
      <c r="D31" s="1066" t="s">
        <v>803</v>
      </c>
      <c r="E31" s="1038">
        <v>19</v>
      </c>
    </row>
    <row r="32" spans="1:5">
      <c r="A32" s="578"/>
      <c r="B32" s="932" t="s">
        <v>135</v>
      </c>
      <c r="C32" s="1067" t="s">
        <v>874</v>
      </c>
      <c r="D32" s="1066" t="s">
        <v>803</v>
      </c>
      <c r="E32" s="1038">
        <v>24</v>
      </c>
    </row>
    <row r="33" spans="1:5" ht="15" thickBot="1">
      <c r="A33" s="578"/>
      <c r="B33" s="1068" t="s">
        <v>296</v>
      </c>
      <c r="C33" s="1069" t="s">
        <v>875</v>
      </c>
      <c r="D33" s="1070" t="s">
        <v>876</v>
      </c>
      <c r="E33" s="1071">
        <v>55</v>
      </c>
    </row>
    <row r="34" spans="1:5" ht="15" thickBot="1">
      <c r="A34" s="578"/>
      <c r="B34" s="1058"/>
      <c r="C34" s="912" t="s">
        <v>877</v>
      </c>
      <c r="D34" s="912"/>
      <c r="E34" s="1059"/>
    </row>
    <row r="35" spans="1:5">
      <c r="A35" s="578"/>
      <c r="B35" s="942" t="s">
        <v>144</v>
      </c>
      <c r="C35" s="1072" t="s">
        <v>878</v>
      </c>
      <c r="D35" s="944" t="s">
        <v>803</v>
      </c>
      <c r="E35" s="1073">
        <v>0</v>
      </c>
    </row>
    <row r="36" spans="1:5">
      <c r="A36" s="578"/>
      <c r="B36" s="932" t="s">
        <v>404</v>
      </c>
      <c r="C36" s="1067" t="s">
        <v>879</v>
      </c>
      <c r="D36" s="934" t="s">
        <v>803</v>
      </c>
      <c r="E36" s="1038">
        <v>0</v>
      </c>
    </row>
    <row r="37" spans="1:5" ht="15.6">
      <c r="A37" s="578"/>
      <c r="B37" s="1074" t="s">
        <v>405</v>
      </c>
      <c r="C37" s="1072" t="s">
        <v>880</v>
      </c>
      <c r="D37" s="944" t="s">
        <v>682</v>
      </c>
      <c r="E37" s="1061">
        <v>377.399</v>
      </c>
    </row>
    <row r="38" spans="1:5" ht="26.4">
      <c r="A38" s="578"/>
      <c r="B38" s="1075" t="s">
        <v>881</v>
      </c>
      <c r="C38" s="1076" t="s">
        <v>882</v>
      </c>
      <c r="D38" s="934" t="s">
        <v>687</v>
      </c>
      <c r="E38" s="1062">
        <v>0</v>
      </c>
    </row>
    <row r="39" spans="1:5" ht="15.6">
      <c r="A39" s="578"/>
      <c r="B39" s="1075" t="s">
        <v>883</v>
      </c>
      <c r="C39" s="1076" t="s">
        <v>884</v>
      </c>
      <c r="D39" s="934" t="s">
        <v>687</v>
      </c>
      <c r="E39" s="1062">
        <v>0</v>
      </c>
    </row>
    <row r="40" spans="1:5" ht="26.4">
      <c r="A40" s="578"/>
      <c r="B40" s="1075" t="s">
        <v>885</v>
      </c>
      <c r="C40" s="1076" t="s">
        <v>886</v>
      </c>
      <c r="D40" s="934" t="s">
        <v>687</v>
      </c>
      <c r="E40" s="1062">
        <v>0</v>
      </c>
    </row>
    <row r="41" spans="1:5" ht="15.6">
      <c r="A41" s="578"/>
      <c r="B41" s="932" t="s">
        <v>887</v>
      </c>
      <c r="C41" s="967" t="s">
        <v>888</v>
      </c>
      <c r="D41" s="934" t="s">
        <v>687</v>
      </c>
      <c r="E41" s="1062">
        <v>377.399</v>
      </c>
    </row>
    <row r="42" spans="1:5" ht="15.6">
      <c r="A42" s="578"/>
      <c r="B42" s="942" t="s">
        <v>146</v>
      </c>
      <c r="C42" s="1077" t="s">
        <v>889</v>
      </c>
      <c r="D42" s="944" t="s">
        <v>682</v>
      </c>
      <c r="E42" s="1061">
        <v>377.399</v>
      </c>
    </row>
    <row r="43" spans="1:5" ht="15.6">
      <c r="A43" s="578"/>
      <c r="B43" s="942" t="s">
        <v>154</v>
      </c>
      <c r="C43" s="1072" t="s">
        <v>890</v>
      </c>
      <c r="D43" s="944" t="s">
        <v>682</v>
      </c>
      <c r="E43" s="1061">
        <v>0</v>
      </c>
    </row>
    <row r="44" spans="1:5">
      <c r="A44" s="578"/>
      <c r="B44" s="932" t="s">
        <v>406</v>
      </c>
      <c r="C44" s="1067" t="s">
        <v>891</v>
      </c>
      <c r="D44" s="934" t="s">
        <v>803</v>
      </c>
      <c r="E44" s="1038">
        <v>0</v>
      </c>
    </row>
    <row r="45" spans="1:5">
      <c r="A45" s="578"/>
      <c r="B45" s="932" t="s">
        <v>892</v>
      </c>
      <c r="C45" s="1067" t="s">
        <v>893</v>
      </c>
      <c r="D45" s="934" t="s">
        <v>803</v>
      </c>
      <c r="E45" s="1038">
        <v>0</v>
      </c>
    </row>
    <row r="46" spans="1:5" ht="15.6">
      <c r="A46" s="578"/>
      <c r="B46" s="932" t="s">
        <v>894</v>
      </c>
      <c r="C46" s="1036" t="s">
        <v>895</v>
      </c>
      <c r="D46" s="949" t="s">
        <v>690</v>
      </c>
      <c r="E46" s="1078">
        <v>0</v>
      </c>
    </row>
    <row r="47" spans="1:5">
      <c r="A47" s="578"/>
      <c r="B47" s="932" t="s">
        <v>609</v>
      </c>
      <c r="C47" s="1067" t="s">
        <v>896</v>
      </c>
      <c r="D47" s="934" t="s">
        <v>803</v>
      </c>
      <c r="E47" s="1038">
        <v>0</v>
      </c>
    </row>
    <row r="48" spans="1:5" ht="15.6">
      <c r="A48" s="578"/>
      <c r="B48" s="932" t="s">
        <v>897</v>
      </c>
      <c r="C48" s="1036" t="s">
        <v>898</v>
      </c>
      <c r="D48" s="949" t="s">
        <v>690</v>
      </c>
      <c r="E48" s="1078">
        <v>0</v>
      </c>
    </row>
    <row r="49" spans="1:5">
      <c r="A49" s="578"/>
      <c r="B49" s="942" t="s">
        <v>407</v>
      </c>
      <c r="C49" s="1072" t="s">
        <v>899</v>
      </c>
      <c r="D49" s="944" t="s">
        <v>803</v>
      </c>
      <c r="E49" s="1073">
        <v>0</v>
      </c>
    </row>
    <row r="50" spans="1:5">
      <c r="A50" s="578"/>
      <c r="B50" s="942" t="s">
        <v>413</v>
      </c>
      <c r="C50" s="1072" t="s">
        <v>900</v>
      </c>
      <c r="D50" s="944" t="s">
        <v>803</v>
      </c>
      <c r="E50" s="1073">
        <v>2</v>
      </c>
    </row>
    <row r="51" spans="1:5">
      <c r="A51" s="578"/>
      <c r="B51" s="942" t="s">
        <v>414</v>
      </c>
      <c r="C51" s="1072" t="s">
        <v>901</v>
      </c>
      <c r="D51" s="944" t="s">
        <v>803</v>
      </c>
      <c r="E51" s="1073">
        <v>7</v>
      </c>
    </row>
    <row r="52" spans="1:5">
      <c r="A52" s="578"/>
      <c r="B52" s="942" t="s">
        <v>419</v>
      </c>
      <c r="C52" s="1072" t="s">
        <v>902</v>
      </c>
      <c r="D52" s="944" t="s">
        <v>803</v>
      </c>
      <c r="E52" s="1073">
        <v>0</v>
      </c>
    </row>
    <row r="53" spans="1:5">
      <c r="A53" s="578"/>
      <c r="B53" s="942" t="s">
        <v>423</v>
      </c>
      <c r="C53" s="1072" t="s">
        <v>903</v>
      </c>
      <c r="D53" s="934" t="s">
        <v>803</v>
      </c>
      <c r="E53" s="1038">
        <v>6</v>
      </c>
    </row>
    <row r="54" spans="1:5">
      <c r="A54" s="578"/>
      <c r="B54" s="1074" t="s">
        <v>426</v>
      </c>
      <c r="C54" s="1072" t="s">
        <v>904</v>
      </c>
      <c r="D54" s="944" t="s">
        <v>803</v>
      </c>
      <c r="E54" s="1073">
        <v>0</v>
      </c>
    </row>
    <row r="55" spans="1:5" ht="15" thickBot="1">
      <c r="A55" s="578"/>
      <c r="B55" s="1068" t="s">
        <v>441</v>
      </c>
      <c r="C55" s="1069" t="s">
        <v>905</v>
      </c>
      <c r="D55" s="1070" t="s">
        <v>906</v>
      </c>
      <c r="E55" s="1071">
        <v>20</v>
      </c>
    </row>
    <row r="56" spans="1:5" ht="15" thickBot="1">
      <c r="A56" s="578"/>
      <c r="B56" s="1058"/>
      <c r="C56" s="912" t="s">
        <v>907</v>
      </c>
      <c r="D56" s="912"/>
      <c r="E56" s="1059"/>
    </row>
    <row r="57" spans="1:5">
      <c r="A57" s="578"/>
      <c r="B57" s="932" t="s">
        <v>62</v>
      </c>
      <c r="C57" s="934" t="s">
        <v>908</v>
      </c>
      <c r="D57" s="934" t="s">
        <v>803</v>
      </c>
      <c r="E57" s="1038">
        <v>19</v>
      </c>
    </row>
    <row r="58" spans="1:5">
      <c r="A58" s="578"/>
      <c r="B58" s="932" t="s">
        <v>66</v>
      </c>
      <c r="C58" s="934" t="s">
        <v>909</v>
      </c>
      <c r="D58" s="934" t="s">
        <v>803</v>
      </c>
      <c r="E58" s="1038">
        <v>22</v>
      </c>
    </row>
    <row r="59" spans="1:5">
      <c r="A59" s="578"/>
      <c r="B59" s="932" t="s">
        <v>68</v>
      </c>
      <c r="C59" s="934" t="s">
        <v>910</v>
      </c>
      <c r="D59" s="934" t="s">
        <v>803</v>
      </c>
      <c r="E59" s="1038">
        <v>24</v>
      </c>
    </row>
    <row r="60" spans="1:5">
      <c r="A60" s="578"/>
      <c r="B60" s="942" t="s">
        <v>70</v>
      </c>
      <c r="C60" s="944" t="s">
        <v>911</v>
      </c>
      <c r="D60" s="1079" t="s">
        <v>906</v>
      </c>
      <c r="E60" s="1061">
        <v>35</v>
      </c>
    </row>
    <row r="61" spans="1:5">
      <c r="A61" s="578"/>
      <c r="B61" s="932" t="s">
        <v>72</v>
      </c>
      <c r="C61" s="934" t="s">
        <v>912</v>
      </c>
      <c r="D61" s="1051" t="s">
        <v>913</v>
      </c>
      <c r="E61" s="1080">
        <v>85.61</v>
      </c>
    </row>
    <row r="62" spans="1:5">
      <c r="A62" s="578"/>
      <c r="B62" s="947" t="s">
        <v>914</v>
      </c>
      <c r="C62" s="1036" t="s">
        <v>915</v>
      </c>
      <c r="D62" s="949" t="s">
        <v>913</v>
      </c>
      <c r="E62" s="1078">
        <v>35.61</v>
      </c>
    </row>
    <row r="63" spans="1:5">
      <c r="A63" s="578"/>
      <c r="B63" s="947" t="s">
        <v>916</v>
      </c>
      <c r="C63" s="1036" t="s">
        <v>917</v>
      </c>
      <c r="D63" s="949" t="s">
        <v>913</v>
      </c>
      <c r="E63" s="1078">
        <v>50</v>
      </c>
    </row>
    <row r="64" spans="1:5">
      <c r="A64" s="578"/>
      <c r="B64" s="932" t="s">
        <v>458</v>
      </c>
      <c r="C64" s="934" t="s">
        <v>918</v>
      </c>
      <c r="D64" s="934" t="s">
        <v>803</v>
      </c>
      <c r="E64" s="1038">
        <v>7155</v>
      </c>
    </row>
    <row r="65" spans="1:5">
      <c r="A65" s="578"/>
      <c r="B65" s="932" t="s">
        <v>462</v>
      </c>
      <c r="C65" s="934" t="s">
        <v>919</v>
      </c>
      <c r="D65" s="934" t="s">
        <v>803</v>
      </c>
      <c r="E65" s="1038">
        <v>152</v>
      </c>
    </row>
    <row r="66" spans="1:5">
      <c r="A66" s="578"/>
      <c r="B66" s="932" t="s">
        <v>466</v>
      </c>
      <c r="C66" s="934" t="s">
        <v>920</v>
      </c>
      <c r="D66" s="934" t="s">
        <v>803</v>
      </c>
      <c r="E66" s="1038">
        <v>0</v>
      </c>
    </row>
    <row r="67" spans="1:5">
      <c r="A67" s="578"/>
      <c r="B67" s="932" t="s">
        <v>470</v>
      </c>
      <c r="C67" s="934" t="s">
        <v>921</v>
      </c>
      <c r="D67" s="934" t="s">
        <v>803</v>
      </c>
      <c r="E67" s="1038">
        <v>213</v>
      </c>
    </row>
    <row r="68" spans="1:5">
      <c r="A68" s="578"/>
      <c r="B68" s="932" t="s">
        <v>486</v>
      </c>
      <c r="C68" s="934" t="s">
        <v>922</v>
      </c>
      <c r="D68" s="934" t="s">
        <v>803</v>
      </c>
      <c r="E68" s="1035">
        <v>2848</v>
      </c>
    </row>
    <row r="69" spans="1:5">
      <c r="A69" s="578"/>
      <c r="B69" s="947" t="s">
        <v>923</v>
      </c>
      <c r="C69" s="1036" t="s">
        <v>924</v>
      </c>
      <c r="D69" s="949" t="s">
        <v>803</v>
      </c>
      <c r="E69" s="1037">
        <v>2565</v>
      </c>
    </row>
    <row r="70" spans="1:5">
      <c r="A70" s="578"/>
      <c r="B70" s="947" t="s">
        <v>925</v>
      </c>
      <c r="C70" s="1036" t="s">
        <v>926</v>
      </c>
      <c r="D70" s="949" t="s">
        <v>803</v>
      </c>
      <c r="E70" s="1037">
        <v>0</v>
      </c>
    </row>
    <row r="71" spans="1:5">
      <c r="A71" s="578"/>
      <c r="B71" s="947" t="s">
        <v>927</v>
      </c>
      <c r="C71" s="1036" t="s">
        <v>928</v>
      </c>
      <c r="D71" s="949" t="s">
        <v>803</v>
      </c>
      <c r="E71" s="1037">
        <v>283</v>
      </c>
    </row>
    <row r="72" spans="1:5">
      <c r="A72" s="578"/>
      <c r="B72" s="932" t="s">
        <v>488</v>
      </c>
      <c r="C72" s="934" t="s">
        <v>929</v>
      </c>
      <c r="D72" s="934" t="s">
        <v>803</v>
      </c>
      <c r="E72" s="1038">
        <v>4091</v>
      </c>
    </row>
    <row r="73" spans="1:5" ht="15" thickBot="1">
      <c r="A73" s="578"/>
      <c r="B73" s="1042" t="s">
        <v>624</v>
      </c>
      <c r="C73" s="1044" t="s">
        <v>930</v>
      </c>
      <c r="D73" s="1044" t="s">
        <v>803</v>
      </c>
      <c r="E73" s="1045">
        <v>65</v>
      </c>
    </row>
    <row r="74" spans="1:5" ht="15" thickBot="1">
      <c r="A74" s="578"/>
      <c r="B74" s="1058"/>
      <c r="C74" s="912" t="s">
        <v>931</v>
      </c>
      <c r="D74" s="912"/>
      <c r="E74" s="1059"/>
    </row>
    <row r="75" spans="1:5">
      <c r="A75" s="578"/>
      <c r="B75" s="932" t="s">
        <v>491</v>
      </c>
      <c r="C75" s="934" t="s">
        <v>932</v>
      </c>
      <c r="D75" s="934" t="s">
        <v>803</v>
      </c>
      <c r="E75" s="1038">
        <v>19</v>
      </c>
    </row>
    <row r="76" spans="1:5">
      <c r="A76" s="578"/>
      <c r="B76" s="932" t="s">
        <v>164</v>
      </c>
      <c r="C76" s="934" t="s">
        <v>933</v>
      </c>
      <c r="D76" s="934" t="s">
        <v>803</v>
      </c>
      <c r="E76" s="1038">
        <v>53</v>
      </c>
    </row>
    <row r="77" spans="1:5">
      <c r="A77" s="578"/>
      <c r="B77" s="932" t="s">
        <v>166</v>
      </c>
      <c r="C77" s="934" t="s">
        <v>934</v>
      </c>
      <c r="D77" s="934" t="s">
        <v>803</v>
      </c>
      <c r="E77" s="1038">
        <v>92</v>
      </c>
    </row>
    <row r="78" spans="1:5">
      <c r="A78" s="578"/>
      <c r="B78" s="942" t="s">
        <v>168</v>
      </c>
      <c r="C78" s="944" t="s">
        <v>935</v>
      </c>
      <c r="D78" s="1079" t="s">
        <v>906</v>
      </c>
      <c r="E78" s="1061">
        <v>18</v>
      </c>
    </row>
    <row r="79" spans="1:5">
      <c r="A79" s="578"/>
      <c r="B79" s="932" t="s">
        <v>170</v>
      </c>
      <c r="C79" s="934" t="s">
        <v>936</v>
      </c>
      <c r="D79" s="934" t="s">
        <v>913</v>
      </c>
      <c r="E79" s="1062">
        <v>118.55</v>
      </c>
    </row>
    <row r="80" spans="1:5">
      <c r="A80" s="578"/>
      <c r="B80" s="947" t="s">
        <v>642</v>
      </c>
      <c r="C80" s="1036" t="s">
        <v>937</v>
      </c>
      <c r="D80" s="949" t="s">
        <v>913</v>
      </c>
      <c r="E80" s="1078">
        <v>17</v>
      </c>
    </row>
    <row r="81" spans="1:5">
      <c r="A81" s="578"/>
      <c r="B81" s="932" t="s">
        <v>172</v>
      </c>
      <c r="C81" s="934" t="s">
        <v>938</v>
      </c>
      <c r="D81" s="934" t="s">
        <v>803</v>
      </c>
      <c r="E81" s="1038">
        <v>7026</v>
      </c>
    </row>
    <row r="82" spans="1:5">
      <c r="A82" s="578"/>
      <c r="B82" s="932" t="s">
        <v>174</v>
      </c>
      <c r="C82" s="934" t="s">
        <v>939</v>
      </c>
      <c r="D82" s="934" t="s">
        <v>803</v>
      </c>
      <c r="E82" s="1081">
        <v>7025</v>
      </c>
    </row>
    <row r="83" spans="1:5">
      <c r="A83" s="578"/>
      <c r="B83" s="947" t="s">
        <v>505</v>
      </c>
      <c r="C83" s="1036" t="s">
        <v>940</v>
      </c>
      <c r="D83" s="949" t="s">
        <v>803</v>
      </c>
      <c r="E83" s="1037">
        <v>3248</v>
      </c>
    </row>
    <row r="84" spans="1:5">
      <c r="A84" s="578"/>
      <c r="B84" s="947" t="s">
        <v>506</v>
      </c>
      <c r="C84" s="1036" t="s">
        <v>941</v>
      </c>
      <c r="D84" s="949" t="s">
        <v>803</v>
      </c>
      <c r="E84" s="1037">
        <v>3537</v>
      </c>
    </row>
    <row r="85" spans="1:5">
      <c r="A85" s="578"/>
      <c r="B85" s="947" t="s">
        <v>507</v>
      </c>
      <c r="C85" s="1036" t="s">
        <v>942</v>
      </c>
      <c r="D85" s="949" t="s">
        <v>803</v>
      </c>
      <c r="E85" s="1037">
        <v>240</v>
      </c>
    </row>
    <row r="86" spans="1:5" ht="15" thickBot="1">
      <c r="A86" s="578"/>
      <c r="B86" s="1042" t="s">
        <v>176</v>
      </c>
      <c r="C86" s="1044" t="s">
        <v>943</v>
      </c>
      <c r="D86" s="1044" t="s">
        <v>803</v>
      </c>
      <c r="E86" s="1045">
        <v>38</v>
      </c>
    </row>
    <row r="87" spans="1:5" ht="15" thickBot="1">
      <c r="A87" s="578"/>
      <c r="B87" s="1058"/>
      <c r="C87" s="912" t="s">
        <v>944</v>
      </c>
      <c r="D87" s="912"/>
      <c r="E87" s="1059"/>
    </row>
    <row r="88" spans="1:5">
      <c r="A88" s="578"/>
      <c r="B88" s="932" t="s">
        <v>205</v>
      </c>
      <c r="C88" s="934" t="s">
        <v>945</v>
      </c>
      <c r="D88" s="934" t="s">
        <v>803</v>
      </c>
      <c r="E88" s="1038">
        <v>7</v>
      </c>
    </row>
    <row r="89" spans="1:5">
      <c r="A89" s="578"/>
      <c r="B89" s="932" t="s">
        <v>207</v>
      </c>
      <c r="C89" s="934" t="s">
        <v>946</v>
      </c>
      <c r="D89" s="934" t="s">
        <v>803</v>
      </c>
      <c r="E89" s="1038">
        <v>0</v>
      </c>
    </row>
    <row r="90" spans="1:5">
      <c r="A90" s="578"/>
      <c r="B90" s="932" t="s">
        <v>215</v>
      </c>
      <c r="C90" s="934" t="s">
        <v>947</v>
      </c>
      <c r="D90" s="934" t="s">
        <v>803</v>
      </c>
      <c r="E90" s="1038">
        <v>0</v>
      </c>
    </row>
    <row r="91" spans="1:5">
      <c r="A91" s="578"/>
      <c r="B91" s="932" t="s">
        <v>649</v>
      </c>
      <c r="C91" s="944" t="s">
        <v>948</v>
      </c>
      <c r="D91" s="1079" t="s">
        <v>906</v>
      </c>
      <c r="E91" s="1073">
        <v>0</v>
      </c>
    </row>
    <row r="92" spans="1:5">
      <c r="A92" s="578"/>
      <c r="B92" s="932" t="s">
        <v>651</v>
      </c>
      <c r="C92" s="934" t="s">
        <v>949</v>
      </c>
      <c r="D92" s="934" t="s">
        <v>913</v>
      </c>
      <c r="E92" s="1062">
        <v>5.4</v>
      </c>
    </row>
    <row r="93" spans="1:5">
      <c r="A93" s="578"/>
      <c r="B93" s="947" t="s">
        <v>950</v>
      </c>
      <c r="C93" s="1036" t="s">
        <v>937</v>
      </c>
      <c r="D93" s="949" t="s">
        <v>913</v>
      </c>
      <c r="E93" s="1037">
        <v>0</v>
      </c>
    </row>
    <row r="94" spans="1:5">
      <c r="A94" s="578"/>
      <c r="B94" s="932" t="s">
        <v>653</v>
      </c>
      <c r="C94" s="934" t="s">
        <v>951</v>
      </c>
      <c r="D94" s="934" t="s">
        <v>803</v>
      </c>
      <c r="E94" s="1038">
        <v>0</v>
      </c>
    </row>
    <row r="95" spans="1:5">
      <c r="A95" s="578"/>
      <c r="B95" s="932" t="s">
        <v>655</v>
      </c>
      <c r="C95" s="934" t="s">
        <v>952</v>
      </c>
      <c r="D95" s="934" t="s">
        <v>803</v>
      </c>
      <c r="E95" s="1038">
        <v>0</v>
      </c>
    </row>
    <row r="96" spans="1:5" ht="15" thickBot="1">
      <c r="A96" s="578"/>
      <c r="B96" s="1042" t="s">
        <v>657</v>
      </c>
      <c r="C96" s="1044" t="s">
        <v>953</v>
      </c>
      <c r="D96" s="1044" t="s">
        <v>803</v>
      </c>
      <c r="E96" s="1045">
        <v>0</v>
      </c>
    </row>
    <row r="97" spans="1:5" ht="15" thickBot="1">
      <c r="A97" s="578"/>
      <c r="B97" s="1058"/>
      <c r="C97" s="912" t="s">
        <v>954</v>
      </c>
      <c r="D97" s="912"/>
      <c r="E97" s="1059"/>
    </row>
    <row r="98" spans="1:5">
      <c r="A98" s="578"/>
      <c r="B98" s="932" t="s">
        <v>80</v>
      </c>
      <c r="C98" s="1082" t="s">
        <v>955</v>
      </c>
      <c r="D98" s="1051" t="s">
        <v>803</v>
      </c>
      <c r="E98" s="1083">
        <v>0</v>
      </c>
    </row>
    <row r="99" spans="1:5">
      <c r="A99" s="578"/>
      <c r="B99" s="932" t="s">
        <v>82</v>
      </c>
      <c r="C99" s="1084" t="s">
        <v>956</v>
      </c>
      <c r="D99" s="934" t="s">
        <v>957</v>
      </c>
      <c r="E99" s="1038">
        <v>0</v>
      </c>
    </row>
    <row r="100" spans="1:5" ht="15.6">
      <c r="A100" s="578"/>
      <c r="B100" s="932" t="s">
        <v>220</v>
      </c>
      <c r="C100" s="1085" t="s">
        <v>958</v>
      </c>
      <c r="D100" s="934" t="s">
        <v>687</v>
      </c>
      <c r="E100" s="1062">
        <v>0</v>
      </c>
    </row>
    <row r="101" spans="1:5">
      <c r="A101" s="578"/>
      <c r="B101" s="932" t="s">
        <v>959</v>
      </c>
      <c r="C101" s="1084" t="s">
        <v>960</v>
      </c>
      <c r="D101" s="934" t="s">
        <v>803</v>
      </c>
      <c r="E101" s="1038">
        <v>0</v>
      </c>
    </row>
    <row r="102" spans="1:5" ht="15.6">
      <c r="A102" s="578"/>
      <c r="B102" s="932" t="s">
        <v>961</v>
      </c>
      <c r="C102" s="1085" t="s">
        <v>962</v>
      </c>
      <c r="D102" s="934" t="s">
        <v>687</v>
      </c>
      <c r="E102" s="1062">
        <v>0</v>
      </c>
    </row>
    <row r="103" spans="1:5">
      <c r="A103" s="578"/>
      <c r="B103" s="932" t="s">
        <v>963</v>
      </c>
      <c r="C103" s="1084" t="s">
        <v>964</v>
      </c>
      <c r="D103" s="934" t="s">
        <v>803</v>
      </c>
      <c r="E103" s="1038">
        <v>19</v>
      </c>
    </row>
    <row r="104" spans="1:5" ht="15.6">
      <c r="A104" s="578"/>
      <c r="B104" s="932" t="s">
        <v>965</v>
      </c>
      <c r="C104" s="1085" t="s">
        <v>966</v>
      </c>
      <c r="D104" s="934" t="s">
        <v>687</v>
      </c>
      <c r="E104" s="1062">
        <v>126.384</v>
      </c>
    </row>
    <row r="105" spans="1:5">
      <c r="A105" s="578"/>
      <c r="B105" s="932" t="s">
        <v>967</v>
      </c>
      <c r="C105" s="1084" t="s">
        <v>968</v>
      </c>
      <c r="D105" s="934" t="s">
        <v>803</v>
      </c>
      <c r="E105" s="1038">
        <v>1</v>
      </c>
    </row>
    <row r="106" spans="1:5" ht="15.6">
      <c r="A106" s="578"/>
      <c r="B106" s="932" t="s">
        <v>969</v>
      </c>
      <c r="C106" s="1085" t="s">
        <v>970</v>
      </c>
      <c r="D106" s="934" t="s">
        <v>687</v>
      </c>
      <c r="E106" s="1062">
        <v>974.93</v>
      </c>
    </row>
    <row r="107" spans="1:5">
      <c r="A107" s="578"/>
      <c r="B107" s="932" t="s">
        <v>971</v>
      </c>
      <c r="C107" s="1085" t="s">
        <v>972</v>
      </c>
      <c r="D107" s="934" t="s">
        <v>803</v>
      </c>
      <c r="E107" s="1038">
        <v>17</v>
      </c>
    </row>
    <row r="108" spans="1:5">
      <c r="A108" s="578"/>
      <c r="B108" s="932" t="s">
        <v>973</v>
      </c>
      <c r="C108" s="1085" t="s">
        <v>974</v>
      </c>
      <c r="D108" s="934" t="s">
        <v>803</v>
      </c>
      <c r="E108" s="1038">
        <v>12</v>
      </c>
    </row>
    <row r="109" spans="1:5">
      <c r="A109" s="578"/>
      <c r="B109" s="984" t="s">
        <v>975</v>
      </c>
      <c r="C109" s="1086" t="s">
        <v>976</v>
      </c>
      <c r="D109" s="998" t="s">
        <v>803</v>
      </c>
      <c r="E109" s="1031">
        <v>0</v>
      </c>
    </row>
    <row r="110" spans="1:5">
      <c r="A110" s="578"/>
      <c r="B110" s="1087" t="s">
        <v>977</v>
      </c>
      <c r="C110" s="1320" t="s">
        <v>978</v>
      </c>
      <c r="D110" s="1320"/>
      <c r="E110" s="1088"/>
    </row>
    <row r="111" spans="1:5">
      <c r="A111" s="578"/>
      <c r="B111" s="993" t="s">
        <v>979</v>
      </c>
      <c r="C111" s="1082" t="s">
        <v>980</v>
      </c>
      <c r="D111" s="1051" t="s">
        <v>850</v>
      </c>
      <c r="E111" s="1089">
        <v>203.95</v>
      </c>
    </row>
    <row r="112" spans="1:5">
      <c r="A112" s="578"/>
      <c r="B112" s="932" t="s">
        <v>981</v>
      </c>
      <c r="C112" s="1084" t="s">
        <v>982</v>
      </c>
      <c r="D112" s="934" t="s">
        <v>850</v>
      </c>
      <c r="E112" s="1062">
        <v>0</v>
      </c>
    </row>
    <row r="113" spans="1:5">
      <c r="A113" s="578"/>
      <c r="B113" s="932" t="s">
        <v>983</v>
      </c>
      <c r="C113" s="1084" t="s">
        <v>984</v>
      </c>
      <c r="D113" s="934" t="s">
        <v>850</v>
      </c>
      <c r="E113" s="1062">
        <v>0</v>
      </c>
    </row>
    <row r="114" spans="1:5">
      <c r="A114" s="578"/>
      <c r="B114" s="932" t="s">
        <v>985</v>
      </c>
      <c r="C114" s="1084" t="s">
        <v>986</v>
      </c>
      <c r="D114" s="934" t="s">
        <v>850</v>
      </c>
      <c r="E114" s="1062">
        <v>45.89</v>
      </c>
    </row>
    <row r="115" spans="1:5">
      <c r="A115" s="578"/>
      <c r="B115" s="984" t="s">
        <v>987</v>
      </c>
      <c r="C115" s="1090" t="s">
        <v>988</v>
      </c>
      <c r="D115" s="998" t="s">
        <v>850</v>
      </c>
      <c r="E115" s="1091">
        <v>7.46</v>
      </c>
    </row>
    <row r="116" spans="1:5">
      <c r="A116" s="578"/>
      <c r="B116" s="1087" t="s">
        <v>989</v>
      </c>
      <c r="C116" s="1320" t="s">
        <v>990</v>
      </c>
      <c r="D116" s="1320"/>
      <c r="E116" s="1092"/>
    </row>
    <row r="117" spans="1:5">
      <c r="A117" s="578"/>
      <c r="B117" s="993" t="s">
        <v>991</v>
      </c>
      <c r="C117" s="1082" t="s">
        <v>992</v>
      </c>
      <c r="D117" s="1051" t="s">
        <v>850</v>
      </c>
      <c r="E117" s="1089">
        <v>5.8429000000000002</v>
      </c>
    </row>
    <row r="118" spans="1:5">
      <c r="A118" s="578"/>
      <c r="B118" s="932" t="s">
        <v>993</v>
      </c>
      <c r="C118" s="1084" t="s">
        <v>982</v>
      </c>
      <c r="D118" s="934" t="s">
        <v>850</v>
      </c>
      <c r="E118" s="1062">
        <v>0</v>
      </c>
    </row>
    <row r="119" spans="1:5">
      <c r="A119" s="578"/>
      <c r="B119" s="932" t="s">
        <v>994</v>
      </c>
      <c r="C119" s="1084" t="s">
        <v>984</v>
      </c>
      <c r="D119" s="934" t="s">
        <v>850</v>
      </c>
      <c r="E119" s="1062">
        <v>0</v>
      </c>
    </row>
    <row r="120" spans="1:5">
      <c r="A120" s="578"/>
      <c r="B120" s="932" t="s">
        <v>995</v>
      </c>
      <c r="C120" s="1084" t="s">
        <v>986</v>
      </c>
      <c r="D120" s="934" t="s">
        <v>850</v>
      </c>
      <c r="E120" s="1062">
        <v>11.157999999999999</v>
      </c>
    </row>
    <row r="121" spans="1:5">
      <c r="A121" s="578"/>
      <c r="B121" s="932" t="s">
        <v>996</v>
      </c>
      <c r="C121" s="1084" t="s">
        <v>988</v>
      </c>
      <c r="D121" s="934" t="s">
        <v>850</v>
      </c>
      <c r="E121" s="1062">
        <v>0.99850000000000005</v>
      </c>
    </row>
    <row r="122" spans="1:5">
      <c r="A122" s="578"/>
      <c r="B122" s="1093" t="s">
        <v>997</v>
      </c>
      <c r="C122" s="1320" t="s">
        <v>998</v>
      </c>
      <c r="D122" s="1320"/>
      <c r="E122" s="1094"/>
    </row>
    <row r="123" spans="1:5">
      <c r="A123" s="578"/>
      <c r="B123" s="932" t="s">
        <v>999</v>
      </c>
      <c r="C123" s="1084" t="s">
        <v>1000</v>
      </c>
      <c r="D123" s="934" t="s">
        <v>1001</v>
      </c>
      <c r="E123" s="1062">
        <v>0</v>
      </c>
    </row>
    <row r="124" spans="1:5">
      <c r="A124" s="578"/>
      <c r="B124" s="932" t="s">
        <v>1002</v>
      </c>
      <c r="C124" s="1084" t="s">
        <v>1003</v>
      </c>
      <c r="D124" s="934" t="s">
        <v>1001</v>
      </c>
      <c r="E124" s="1062">
        <v>0</v>
      </c>
    </row>
    <row r="125" spans="1:5">
      <c r="A125" s="578"/>
      <c r="B125" s="932" t="s">
        <v>1004</v>
      </c>
      <c r="C125" s="1084" t="s">
        <v>1005</v>
      </c>
      <c r="D125" s="934" t="s">
        <v>1001</v>
      </c>
      <c r="E125" s="1062">
        <v>0</v>
      </c>
    </row>
    <row r="126" spans="1:5">
      <c r="A126" s="578"/>
      <c r="B126" s="984" t="s">
        <v>1006</v>
      </c>
      <c r="C126" s="1090" t="s">
        <v>1007</v>
      </c>
      <c r="D126" s="998" t="s">
        <v>1001</v>
      </c>
      <c r="E126" s="1091">
        <v>0</v>
      </c>
    </row>
    <row r="127" spans="1:5">
      <c r="A127" s="578"/>
      <c r="B127" s="1087" t="s">
        <v>1008</v>
      </c>
      <c r="C127" s="1320" t="s">
        <v>1009</v>
      </c>
      <c r="D127" s="1320"/>
      <c r="E127" s="1088"/>
    </row>
    <row r="128" spans="1:5">
      <c r="A128" s="578"/>
      <c r="B128" s="984" t="s">
        <v>1010</v>
      </c>
      <c r="C128" s="1090" t="s">
        <v>980</v>
      </c>
      <c r="D128" s="998" t="s">
        <v>1001</v>
      </c>
      <c r="E128" s="1095">
        <f>(E111-E117)*E129/1000</f>
        <v>218.17812272940003</v>
      </c>
    </row>
    <row r="129" spans="1:5" ht="16.2" thickBot="1">
      <c r="A129" s="578"/>
      <c r="B129" s="1096" t="s">
        <v>1011</v>
      </c>
      <c r="C129" s="1097" t="s">
        <v>1012</v>
      </c>
      <c r="D129" s="1044" t="s">
        <v>687</v>
      </c>
      <c r="E129" s="1098">
        <f>'8'!E36</f>
        <v>1101.3140000000001</v>
      </c>
    </row>
    <row r="130" spans="1:5" ht="15" thickBot="1">
      <c r="A130" s="578"/>
      <c r="B130" s="1058"/>
      <c r="C130" s="912" t="s">
        <v>1013</v>
      </c>
      <c r="D130" s="912"/>
      <c r="E130" s="1059"/>
    </row>
    <row r="131" spans="1:5" ht="15.6">
      <c r="A131" s="578"/>
      <c r="B131" s="1099" t="s">
        <v>1014</v>
      </c>
      <c r="C131" s="1100" t="s">
        <v>1015</v>
      </c>
      <c r="D131" s="934" t="s">
        <v>687</v>
      </c>
      <c r="E131" s="1101">
        <v>0</v>
      </c>
    </row>
    <row r="132" spans="1:5">
      <c r="A132" s="578"/>
      <c r="B132" s="932" t="s">
        <v>1016</v>
      </c>
      <c r="C132" s="1085" t="s">
        <v>1017</v>
      </c>
      <c r="D132" s="934" t="s">
        <v>803</v>
      </c>
      <c r="E132" s="1038">
        <v>0</v>
      </c>
    </row>
    <row r="133" spans="1:5">
      <c r="A133" s="578"/>
      <c r="B133" s="936" t="s">
        <v>1018</v>
      </c>
      <c r="C133" s="1102" t="s">
        <v>1019</v>
      </c>
      <c r="D133" s="938" t="s">
        <v>803</v>
      </c>
      <c r="E133" s="1031">
        <v>0</v>
      </c>
    </row>
    <row r="134" spans="1:5">
      <c r="A134" s="578"/>
      <c r="B134" s="1087" t="s">
        <v>1020</v>
      </c>
      <c r="C134" s="1320" t="s">
        <v>1021</v>
      </c>
      <c r="D134" s="1320"/>
      <c r="E134" s="1088"/>
    </row>
    <row r="135" spans="1:5">
      <c r="A135" s="578"/>
      <c r="B135" s="993" t="s">
        <v>1022</v>
      </c>
      <c r="C135" s="1082" t="s">
        <v>980</v>
      </c>
      <c r="D135" s="1051" t="s">
        <v>850</v>
      </c>
      <c r="E135" s="1089">
        <v>0</v>
      </c>
    </row>
    <row r="136" spans="1:5">
      <c r="A136" s="578"/>
      <c r="B136" s="932" t="s">
        <v>1023</v>
      </c>
      <c r="C136" s="1084" t="s">
        <v>982</v>
      </c>
      <c r="D136" s="934" t="s">
        <v>850</v>
      </c>
      <c r="E136" s="1062">
        <v>0</v>
      </c>
    </row>
    <row r="137" spans="1:5">
      <c r="A137" s="578"/>
      <c r="B137" s="932" t="s">
        <v>1024</v>
      </c>
      <c r="C137" s="1084" t="s">
        <v>1025</v>
      </c>
      <c r="D137" s="934" t="s">
        <v>850</v>
      </c>
      <c r="E137" s="1062">
        <v>0</v>
      </c>
    </row>
    <row r="138" spans="1:5">
      <c r="A138" s="578"/>
      <c r="B138" s="1087" t="s">
        <v>1026</v>
      </c>
      <c r="C138" s="1320" t="s">
        <v>1027</v>
      </c>
      <c r="D138" s="1320"/>
      <c r="E138" s="1092"/>
    </row>
    <row r="139" spans="1:5">
      <c r="A139" s="578"/>
      <c r="B139" s="993" t="s">
        <v>1028</v>
      </c>
      <c r="C139" s="1082" t="s">
        <v>992</v>
      </c>
      <c r="D139" s="1051" t="s">
        <v>850</v>
      </c>
      <c r="E139" s="1089">
        <v>0</v>
      </c>
    </row>
    <row r="140" spans="1:5">
      <c r="A140" s="578"/>
      <c r="B140" s="932" t="s">
        <v>1029</v>
      </c>
      <c r="C140" s="1084" t="s">
        <v>982</v>
      </c>
      <c r="D140" s="934" t="s">
        <v>850</v>
      </c>
      <c r="E140" s="1062">
        <v>0</v>
      </c>
    </row>
    <row r="141" spans="1:5">
      <c r="A141" s="578"/>
      <c r="B141" s="984" t="s">
        <v>1030</v>
      </c>
      <c r="C141" s="1090" t="s">
        <v>1025</v>
      </c>
      <c r="D141" s="998" t="s">
        <v>850</v>
      </c>
      <c r="E141" s="1091">
        <v>0</v>
      </c>
    </row>
    <row r="142" spans="1:5">
      <c r="A142" s="578"/>
      <c r="B142" s="1087" t="s">
        <v>1031</v>
      </c>
      <c r="C142" s="1320" t="s">
        <v>1009</v>
      </c>
      <c r="D142" s="1320"/>
      <c r="E142" s="1088"/>
    </row>
    <row r="143" spans="1:5" ht="15" thickBot="1">
      <c r="A143" s="578"/>
      <c r="B143" s="1042" t="s">
        <v>1032</v>
      </c>
      <c r="C143" s="1084" t="s">
        <v>980</v>
      </c>
      <c r="D143" s="934" t="s">
        <v>1001</v>
      </c>
      <c r="E143" s="1103">
        <f>(E135-E139)*E131/1000</f>
        <v>0</v>
      </c>
    </row>
    <row r="144" spans="1:5" ht="15" thickBot="1">
      <c r="A144" s="578"/>
      <c r="B144" s="1058"/>
      <c r="C144" s="912" t="s">
        <v>1033</v>
      </c>
      <c r="D144" s="912"/>
      <c r="E144" s="1059"/>
    </row>
    <row r="145" spans="1:5" ht="15.6">
      <c r="A145" s="578"/>
      <c r="B145" s="1099" t="s">
        <v>7</v>
      </c>
      <c r="C145" s="1104" t="s">
        <v>1034</v>
      </c>
      <c r="D145" s="934" t="s">
        <v>687</v>
      </c>
      <c r="E145" s="1101">
        <v>2.8</v>
      </c>
    </row>
    <row r="146" spans="1:5">
      <c r="A146" s="578"/>
      <c r="B146" s="932" t="s">
        <v>1035</v>
      </c>
      <c r="C146" s="1105" t="s">
        <v>1036</v>
      </c>
      <c r="D146" s="1106" t="s">
        <v>783</v>
      </c>
      <c r="E146" s="1107">
        <v>0.96</v>
      </c>
    </row>
    <row r="147" spans="1:5">
      <c r="A147" s="578"/>
      <c r="B147" s="932" t="s">
        <v>1037</v>
      </c>
      <c r="C147" s="1105" t="s">
        <v>1038</v>
      </c>
      <c r="D147" s="934" t="s">
        <v>1039</v>
      </c>
      <c r="E147" s="1062">
        <v>0.4</v>
      </c>
    </row>
    <row r="148" spans="1:5" ht="15" thickBot="1">
      <c r="A148" s="578"/>
      <c r="B148" s="996" t="s">
        <v>1040</v>
      </c>
      <c r="C148" s="1108" t="s">
        <v>1041</v>
      </c>
      <c r="D148" s="1040" t="s">
        <v>803</v>
      </c>
      <c r="E148" s="1041">
        <v>5</v>
      </c>
    </row>
    <row r="149" spans="1:5">
      <c r="A149" s="578"/>
      <c r="B149" s="1109" t="s">
        <v>1042</v>
      </c>
      <c r="C149" s="1321" t="s">
        <v>1043</v>
      </c>
      <c r="D149" s="1321"/>
      <c r="E149" s="1110"/>
    </row>
    <row r="150" spans="1:5" ht="15.6">
      <c r="A150" s="578"/>
      <c r="B150" s="993" t="s">
        <v>1044</v>
      </c>
      <c r="C150" s="1111" t="s">
        <v>1045</v>
      </c>
      <c r="D150" s="934" t="s">
        <v>687</v>
      </c>
      <c r="E150" s="1062">
        <v>0</v>
      </c>
    </row>
    <row r="151" spans="1:5">
      <c r="A151" s="578"/>
      <c r="B151" s="932" t="s">
        <v>1046</v>
      </c>
      <c r="C151" s="1105" t="s">
        <v>1047</v>
      </c>
      <c r="D151" s="1106" t="s">
        <v>783</v>
      </c>
      <c r="E151" s="1107">
        <v>0</v>
      </c>
    </row>
    <row r="152" spans="1:5">
      <c r="A152" s="578"/>
      <c r="B152" s="993" t="s">
        <v>1048</v>
      </c>
      <c r="C152" s="1112" t="s">
        <v>1049</v>
      </c>
      <c r="D152" s="1040" t="s">
        <v>1039</v>
      </c>
      <c r="E152" s="1062">
        <v>0</v>
      </c>
    </row>
    <row r="153" spans="1:5" ht="15" thickBot="1">
      <c r="A153" s="578"/>
      <c r="B153" s="984" t="s">
        <v>1050</v>
      </c>
      <c r="C153" s="1113" t="s">
        <v>1051</v>
      </c>
      <c r="D153" s="998" t="s">
        <v>803</v>
      </c>
      <c r="E153" s="1031">
        <v>0</v>
      </c>
    </row>
    <row r="154" spans="1:5">
      <c r="A154" s="578"/>
      <c r="B154" s="1109" t="s">
        <v>1052</v>
      </c>
      <c r="C154" s="1321" t="s">
        <v>1053</v>
      </c>
      <c r="D154" s="1321"/>
      <c r="E154" s="1114"/>
    </row>
    <row r="155" spans="1:5" ht="15.6">
      <c r="A155" s="578"/>
      <c r="B155" s="932" t="s">
        <v>1054</v>
      </c>
      <c r="C155" s="1105" t="s">
        <v>1055</v>
      </c>
      <c r="D155" s="934" t="s">
        <v>687</v>
      </c>
      <c r="E155" s="1062">
        <v>0</v>
      </c>
    </row>
    <row r="156" spans="1:5">
      <c r="A156" s="578"/>
      <c r="B156" s="932" t="s">
        <v>1056</v>
      </c>
      <c r="C156" s="1105" t="s">
        <v>1057</v>
      </c>
      <c r="D156" s="1106" t="s">
        <v>783</v>
      </c>
      <c r="E156" s="1107">
        <v>0</v>
      </c>
    </row>
    <row r="157" spans="1:5">
      <c r="A157" s="578"/>
      <c r="B157" s="932" t="s">
        <v>1058</v>
      </c>
      <c r="C157" s="1112" t="s">
        <v>1059</v>
      </c>
      <c r="D157" s="1040" t="s">
        <v>1039</v>
      </c>
      <c r="E157" s="1062">
        <v>0</v>
      </c>
    </row>
    <row r="158" spans="1:5" ht="15" thickBot="1">
      <c r="A158" s="578"/>
      <c r="B158" s="984" t="s">
        <v>1060</v>
      </c>
      <c r="C158" s="1113" t="s">
        <v>1061</v>
      </c>
      <c r="D158" s="998" t="s">
        <v>803</v>
      </c>
      <c r="E158" s="1031">
        <v>0</v>
      </c>
    </row>
    <row r="159" spans="1:5">
      <c r="A159" s="578"/>
      <c r="B159" s="1109" t="s">
        <v>1062</v>
      </c>
      <c r="C159" s="1321" t="s">
        <v>1063</v>
      </c>
      <c r="D159" s="1321"/>
      <c r="E159" s="1115"/>
    </row>
    <row r="160" spans="1:5" ht="15.6">
      <c r="A160" s="578"/>
      <c r="B160" s="932" t="s">
        <v>1064</v>
      </c>
      <c r="C160" s="1116" t="s">
        <v>1065</v>
      </c>
      <c r="D160" s="934" t="s">
        <v>687</v>
      </c>
      <c r="E160" s="1062">
        <v>0</v>
      </c>
    </row>
    <row r="161" spans="1:5">
      <c r="A161" s="578"/>
      <c r="B161" s="932" t="s">
        <v>1066</v>
      </c>
      <c r="C161" s="1116" t="s">
        <v>1067</v>
      </c>
      <c r="D161" s="934" t="s">
        <v>783</v>
      </c>
      <c r="E161" s="1107">
        <v>0</v>
      </c>
    </row>
    <row r="162" spans="1:5">
      <c r="A162" s="578"/>
      <c r="B162" s="932" t="s">
        <v>1068</v>
      </c>
      <c r="C162" s="1116" t="s">
        <v>1069</v>
      </c>
      <c r="D162" s="934" t="s">
        <v>1070</v>
      </c>
      <c r="E162" s="1062">
        <v>0</v>
      </c>
    </row>
    <row r="163" spans="1:5" ht="15" thickBot="1">
      <c r="A163" s="578"/>
      <c r="B163" s="984" t="s">
        <v>1071</v>
      </c>
      <c r="C163" s="1113" t="s">
        <v>1072</v>
      </c>
      <c r="D163" s="998" t="s">
        <v>803</v>
      </c>
      <c r="E163" s="1031">
        <v>0</v>
      </c>
    </row>
    <row r="164" spans="1:5">
      <c r="A164" s="578"/>
      <c r="B164" s="1109" t="s">
        <v>1073</v>
      </c>
      <c r="C164" s="1322" t="s">
        <v>1074</v>
      </c>
      <c r="D164" s="1323"/>
      <c r="E164" s="1117"/>
    </row>
    <row r="165" spans="1:5" ht="15.6">
      <c r="A165" s="578"/>
      <c r="B165" s="932" t="s">
        <v>1075</v>
      </c>
      <c r="C165" s="1105" t="s">
        <v>1076</v>
      </c>
      <c r="D165" s="934" t="s">
        <v>687</v>
      </c>
      <c r="E165" s="1062">
        <v>0</v>
      </c>
    </row>
    <row r="166" spans="1:5">
      <c r="A166" s="578"/>
      <c r="B166" s="932" t="s">
        <v>1077</v>
      </c>
      <c r="C166" s="1105" t="s">
        <v>1078</v>
      </c>
      <c r="D166" s="1106" t="s">
        <v>783</v>
      </c>
      <c r="E166" s="1107">
        <v>0</v>
      </c>
    </row>
    <row r="167" spans="1:5">
      <c r="A167" s="578"/>
      <c r="B167" s="993" t="s">
        <v>1079</v>
      </c>
      <c r="C167" s="1112" t="s">
        <v>1080</v>
      </c>
      <c r="D167" s="1040" t="s">
        <v>1039</v>
      </c>
      <c r="E167" s="1062">
        <v>0</v>
      </c>
    </row>
    <row r="168" spans="1:5" ht="15" thickBot="1">
      <c r="A168" s="578"/>
      <c r="B168" s="984" t="s">
        <v>1081</v>
      </c>
      <c r="C168" s="1113" t="s">
        <v>1082</v>
      </c>
      <c r="D168" s="998" t="s">
        <v>803</v>
      </c>
      <c r="E168" s="1031">
        <v>0</v>
      </c>
    </row>
    <row r="169" spans="1:5">
      <c r="A169" s="578"/>
      <c r="B169" s="1109" t="s">
        <v>1083</v>
      </c>
      <c r="C169" s="1321" t="s">
        <v>1084</v>
      </c>
      <c r="D169" s="1321"/>
      <c r="E169" s="1114"/>
    </row>
    <row r="170" spans="1:5" ht="15.6">
      <c r="A170" s="578"/>
      <c r="B170" s="932" t="s">
        <v>1085</v>
      </c>
      <c r="C170" s="1118" t="s">
        <v>1086</v>
      </c>
      <c r="D170" s="934" t="s">
        <v>687</v>
      </c>
      <c r="E170" s="1062">
        <v>0.43</v>
      </c>
    </row>
    <row r="171" spans="1:5">
      <c r="A171" s="578"/>
      <c r="B171" s="932" t="s">
        <v>1087</v>
      </c>
      <c r="C171" s="1119" t="s">
        <v>1088</v>
      </c>
      <c r="D171" s="1106" t="s">
        <v>783</v>
      </c>
      <c r="E171" s="1107">
        <v>0.6</v>
      </c>
    </row>
    <row r="172" spans="1:5">
      <c r="A172" s="578"/>
      <c r="B172" s="932" t="s">
        <v>1089</v>
      </c>
      <c r="C172" s="1119" t="s">
        <v>1090</v>
      </c>
      <c r="D172" s="1051" t="s">
        <v>1039</v>
      </c>
      <c r="E172" s="1062">
        <v>0.6</v>
      </c>
    </row>
    <row r="173" spans="1:5">
      <c r="A173" s="578"/>
      <c r="B173" s="932" t="s">
        <v>1091</v>
      </c>
      <c r="C173" s="1120" t="s">
        <v>1092</v>
      </c>
      <c r="D173" s="1040" t="s">
        <v>1039</v>
      </c>
      <c r="E173" s="1062">
        <v>2.86</v>
      </c>
    </row>
    <row r="174" spans="1:5" ht="15" thickBot="1">
      <c r="A174" s="578"/>
      <c r="B174" s="984" t="s">
        <v>1093</v>
      </c>
      <c r="C174" s="1113" t="s">
        <v>1041</v>
      </c>
      <c r="D174" s="998" t="s">
        <v>803</v>
      </c>
      <c r="E174" s="1031">
        <v>4</v>
      </c>
    </row>
    <row r="175" spans="1:5">
      <c r="A175" s="578"/>
      <c r="B175" s="1109" t="s">
        <v>1094</v>
      </c>
      <c r="C175" s="1321" t="s">
        <v>1095</v>
      </c>
      <c r="D175" s="1321"/>
      <c r="E175" s="1114"/>
    </row>
    <row r="176" spans="1:5" ht="15.6">
      <c r="A176" s="578"/>
      <c r="B176" s="959" t="s">
        <v>1096</v>
      </c>
      <c r="C176" s="1118" t="s">
        <v>1097</v>
      </c>
      <c r="D176" s="934" t="s">
        <v>687</v>
      </c>
      <c r="E176" s="1062">
        <v>0</v>
      </c>
    </row>
    <row r="177" spans="1:5">
      <c r="A177" s="578"/>
      <c r="B177" s="959" t="s">
        <v>1098</v>
      </c>
      <c r="C177" s="1119" t="s">
        <v>1099</v>
      </c>
      <c r="D177" s="1106" t="s">
        <v>783</v>
      </c>
      <c r="E177" s="1107">
        <v>0</v>
      </c>
    </row>
    <row r="178" spans="1:5">
      <c r="A178" s="578"/>
      <c r="B178" s="959" t="s">
        <v>1100</v>
      </c>
      <c r="C178" s="1119" t="s">
        <v>1101</v>
      </c>
      <c r="D178" s="1051" t="s">
        <v>1039</v>
      </c>
      <c r="E178" s="1062">
        <v>0</v>
      </c>
    </row>
    <row r="179" spans="1:5">
      <c r="A179" s="578"/>
      <c r="B179" s="959" t="s">
        <v>1102</v>
      </c>
      <c r="C179" s="1119" t="s">
        <v>1103</v>
      </c>
      <c r="D179" s="1051" t="s">
        <v>1039</v>
      </c>
      <c r="E179" s="1062">
        <v>0</v>
      </c>
    </row>
    <row r="180" spans="1:5">
      <c r="A180" s="578"/>
      <c r="B180" s="959" t="s">
        <v>1104</v>
      </c>
      <c r="C180" s="1119" t="s">
        <v>1105</v>
      </c>
      <c r="D180" s="1051" t="s">
        <v>1039</v>
      </c>
      <c r="E180" s="1062">
        <v>0</v>
      </c>
    </row>
    <row r="181" spans="1:5">
      <c r="A181" s="578"/>
      <c r="B181" s="959" t="s">
        <v>1106</v>
      </c>
      <c r="C181" s="1119" t="s">
        <v>1092</v>
      </c>
      <c r="D181" s="1051" t="s">
        <v>1039</v>
      </c>
      <c r="E181" s="1062">
        <v>0</v>
      </c>
    </row>
    <row r="182" spans="1:5" ht="15" thickBot="1">
      <c r="A182" s="578"/>
      <c r="B182" s="1042" t="s">
        <v>1107</v>
      </c>
      <c r="C182" s="1121" t="s">
        <v>1041</v>
      </c>
      <c r="D182" s="1044" t="s">
        <v>803</v>
      </c>
      <c r="E182" s="1045">
        <v>0</v>
      </c>
    </row>
    <row r="183" spans="1:5" ht="15" thickBot="1">
      <c r="A183" s="578"/>
      <c r="B183" s="1058"/>
      <c r="C183" s="912" t="s">
        <v>1108</v>
      </c>
      <c r="D183" s="912"/>
      <c r="E183" s="1059"/>
    </row>
    <row r="184" spans="1:5">
      <c r="A184" s="578"/>
      <c r="B184" s="1099" t="s">
        <v>1109</v>
      </c>
      <c r="C184" s="1122" t="s">
        <v>1110</v>
      </c>
      <c r="D184" s="1123" t="s">
        <v>803</v>
      </c>
      <c r="E184" s="1050">
        <f>SUM(E185:E189)</f>
        <v>19</v>
      </c>
    </row>
    <row r="185" spans="1:5">
      <c r="A185" s="578"/>
      <c r="B185" s="932" t="s">
        <v>1111</v>
      </c>
      <c r="C185" s="1067" t="s">
        <v>1112</v>
      </c>
      <c r="D185" s="1124" t="s">
        <v>803</v>
      </c>
      <c r="E185" s="1038">
        <v>0</v>
      </c>
    </row>
    <row r="186" spans="1:5">
      <c r="A186" s="578"/>
      <c r="B186" s="932" t="s">
        <v>1113</v>
      </c>
      <c r="C186" s="1067" t="s">
        <v>1114</v>
      </c>
      <c r="D186" s="1124" t="s">
        <v>803</v>
      </c>
      <c r="E186" s="1038">
        <v>3</v>
      </c>
    </row>
    <row r="187" spans="1:5">
      <c r="A187" s="578"/>
      <c r="B187" s="932" t="s">
        <v>1115</v>
      </c>
      <c r="C187" s="1067" t="s">
        <v>1116</v>
      </c>
      <c r="D187" s="1124" t="s">
        <v>803</v>
      </c>
      <c r="E187" s="1038">
        <v>1</v>
      </c>
    </row>
    <row r="188" spans="1:5">
      <c r="A188" s="578"/>
      <c r="B188" s="932" t="s">
        <v>1117</v>
      </c>
      <c r="C188" s="1067" t="s">
        <v>1118</v>
      </c>
      <c r="D188" s="1124" t="s">
        <v>803</v>
      </c>
      <c r="E188" s="1038">
        <v>5</v>
      </c>
    </row>
    <row r="189" spans="1:5">
      <c r="A189" s="578"/>
      <c r="B189" s="932" t="s">
        <v>1119</v>
      </c>
      <c r="C189" s="1067" t="s">
        <v>1120</v>
      </c>
      <c r="D189" s="1124" t="s">
        <v>803</v>
      </c>
      <c r="E189" s="1035">
        <f>SUM(E190:E194)</f>
        <v>10</v>
      </c>
    </row>
    <row r="190" spans="1:5">
      <c r="A190" s="578"/>
      <c r="B190" s="947" t="s">
        <v>1121</v>
      </c>
      <c r="C190" s="1036" t="s">
        <v>1122</v>
      </c>
      <c r="D190" s="1106" t="s">
        <v>803</v>
      </c>
      <c r="E190" s="1037">
        <v>0</v>
      </c>
    </row>
    <row r="191" spans="1:5">
      <c r="A191" s="578"/>
      <c r="B191" s="947" t="s">
        <v>1123</v>
      </c>
      <c r="C191" s="1036" t="s">
        <v>1124</v>
      </c>
      <c r="D191" s="1106" t="s">
        <v>803</v>
      </c>
      <c r="E191" s="1037">
        <v>0</v>
      </c>
    </row>
    <row r="192" spans="1:5">
      <c r="A192" s="578"/>
      <c r="B192" s="947" t="s">
        <v>1125</v>
      </c>
      <c r="C192" s="1036" t="s">
        <v>1126</v>
      </c>
      <c r="D192" s="1106" t="s">
        <v>803</v>
      </c>
      <c r="E192" s="1037">
        <v>1</v>
      </c>
    </row>
    <row r="193" spans="1:5">
      <c r="A193" s="578"/>
      <c r="B193" s="947" t="s">
        <v>1127</v>
      </c>
      <c r="C193" s="1036" t="s">
        <v>1128</v>
      </c>
      <c r="D193" s="1106" t="s">
        <v>803</v>
      </c>
      <c r="E193" s="1037">
        <v>3</v>
      </c>
    </row>
    <row r="194" spans="1:5" ht="15" thickBot="1">
      <c r="A194" s="578"/>
      <c r="B194" s="1125" t="s">
        <v>1129</v>
      </c>
      <c r="C194" s="1126" t="s">
        <v>1130</v>
      </c>
      <c r="D194" s="1127" t="s">
        <v>803</v>
      </c>
      <c r="E194" s="1128">
        <v>6</v>
      </c>
    </row>
    <row r="195" spans="1:5">
      <c r="A195" s="578"/>
      <c r="B195" s="1129"/>
      <c r="C195" s="1129"/>
      <c r="D195" s="1129"/>
      <c r="E195" s="1130"/>
    </row>
    <row r="196" spans="1:5">
      <c r="A196" s="578"/>
      <c r="B196" s="1131" t="s">
        <v>1131</v>
      </c>
      <c r="C196" s="89" t="s">
        <v>1132</v>
      </c>
      <c r="D196" s="578"/>
      <c r="E196" s="578"/>
    </row>
    <row r="197" spans="1:5">
      <c r="A197" s="578"/>
      <c r="B197" s="1132" t="s">
        <v>1133</v>
      </c>
      <c r="C197" s="89" t="s">
        <v>1134</v>
      </c>
      <c r="D197" s="578"/>
      <c r="E197" s="578"/>
    </row>
  </sheetData>
  <mergeCells count="13">
    <mergeCell ref="C175:D175"/>
    <mergeCell ref="C142:D142"/>
    <mergeCell ref="C149:D149"/>
    <mergeCell ref="C154:D154"/>
    <mergeCell ref="C159:D159"/>
    <mergeCell ref="C164:D164"/>
    <mergeCell ref="C169:D169"/>
    <mergeCell ref="C138:D138"/>
    <mergeCell ref="C110:D110"/>
    <mergeCell ref="C116:D116"/>
    <mergeCell ref="C122:D122"/>
    <mergeCell ref="C127:D127"/>
    <mergeCell ref="C134:D1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11</vt:i4>
      </vt:variant>
    </vt:vector>
  </HeadingPairs>
  <TitlesOfParts>
    <vt:vector size="11" baseType="lpstr">
      <vt:lpstr>1</vt:lpstr>
      <vt:lpstr>2</vt:lpstr>
      <vt:lpstr>3</vt:lpstr>
      <vt:lpstr>4</vt:lpstr>
      <vt:lpstr>5</vt:lpstr>
      <vt:lpstr>6</vt:lpstr>
      <vt:lpstr>7</vt:lpstr>
      <vt:lpstr>8</vt:lpstr>
      <vt:lpstr>9</vt:lpstr>
      <vt:lpstr>10</vt:lpstr>
      <vt:lpst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Vilnius economics</dc:creator>
  <cp:lastModifiedBy>HP</cp:lastModifiedBy>
  <dcterms:created xsi:type="dcterms:W3CDTF">2022-04-28T13:29:58Z</dcterms:created>
  <dcterms:modified xsi:type="dcterms:W3CDTF">2023-05-11T07:35:29Z</dcterms:modified>
</cp:coreProperties>
</file>